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ml.chartshapes+xml"/>
  <Override PartName="/xl/charts/chart29.xml" ContentType="application/vnd.openxmlformats-officedocument.drawingml.chart+xml"/>
  <Override PartName="/xl/drawings/drawing31.xml" ContentType="application/vnd.openxmlformats-officedocument.drawingml.chartshapes+xml"/>
  <Override PartName="/xl/charts/chart30.xml" ContentType="application/vnd.openxmlformats-officedocument.drawingml.chart+xml"/>
  <Override PartName="/xl/drawings/drawing32.xml" ContentType="application/vnd.openxmlformats-officedocument.drawingml.chartshapes+xml"/>
  <Override PartName="/xl/charts/chart31.xml" ContentType="application/vnd.openxmlformats-officedocument.drawingml.chart+xml"/>
  <Override PartName="/xl/drawings/drawing33.xml" ContentType="application/vnd.openxmlformats-officedocument.drawingml.chartshapes+xml"/>
  <Override PartName="/xl/charts/chart32.xml" ContentType="application/vnd.openxmlformats-officedocument.drawingml.chart+xml"/>
  <Override PartName="/xl/drawings/drawing34.xml" ContentType="application/vnd.openxmlformats-officedocument.drawingml.chartshapes+xml"/>
  <Override PartName="/xl/charts/chart33.xml" ContentType="application/vnd.openxmlformats-officedocument.drawingml.chart+xml"/>
  <Override PartName="/xl/drawings/drawing35.xml" ContentType="application/vnd.openxmlformats-officedocument.drawingml.chartshapes+xml"/>
  <Override PartName="/xl/charts/chart34.xml" ContentType="application/vnd.openxmlformats-officedocument.drawingml.chart+xml"/>
  <Override PartName="/xl/drawings/drawing36.xml" ContentType="application/vnd.openxmlformats-officedocument.drawingml.chartshapes+xml"/>
  <Override PartName="/xl/charts/chart35.xml" ContentType="application/vnd.openxmlformats-officedocument.drawingml.chart+xml"/>
  <Override PartName="/xl/drawings/drawing37.xml" ContentType="application/vnd.openxmlformats-officedocument.drawingml.chartshapes+xml"/>
  <Override PartName="/xl/charts/chart36.xml" ContentType="application/vnd.openxmlformats-officedocument.drawingml.chart+xml"/>
  <Override PartName="/xl/drawings/drawing38.xml" ContentType="application/vnd.openxmlformats-officedocument.drawingml.chartshapes+xml"/>
  <Override PartName="/xl/charts/chart37.xml" ContentType="application/vnd.openxmlformats-officedocument.drawingml.chart+xml"/>
  <Override PartName="/xl/drawings/drawing39.xml" ContentType="application/vnd.openxmlformats-officedocument.drawingml.chartshapes+xml"/>
  <Override PartName="/xl/charts/chart38.xml" ContentType="application/vnd.openxmlformats-officedocument.drawingml.chart+xml"/>
  <Override PartName="/xl/drawings/drawing40.xml" ContentType="application/vnd.openxmlformats-officedocument.drawingml.chartshapes+xml"/>
  <Override PartName="/xl/charts/chart39.xml" ContentType="application/vnd.openxmlformats-officedocument.drawingml.chart+xml"/>
  <Override PartName="/xl/drawings/drawing41.xml" ContentType="application/vnd.openxmlformats-officedocument.drawingml.chartshapes+xml"/>
  <Override PartName="/xl/charts/chart40.xml" ContentType="application/vnd.openxmlformats-officedocument.drawingml.chart+xml"/>
  <Override PartName="/xl/drawings/drawing4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ESTADISTICA\REPORTES\INDICADORES SANITARIOS SUBIR A SERVIDOR\"/>
    </mc:Choice>
  </mc:AlternateContent>
  <xr:revisionPtr revIDLastSave="0" documentId="13_ncr:1_{363F59EB-2478-456D-891D-CBC60AB30CE9}" xr6:coauthVersionLast="47" xr6:coauthVersionMax="47" xr10:uidLastSave="{00000000-0000-0000-0000-000000000000}"/>
  <bookViews>
    <workbookView xWindow="-120" yWindow="-120" windowWidth="29040" windowHeight="15840" tabRatio="934" firstSheet="3" activeTab="3" xr2:uid="{00000000-000D-0000-FFFF-FFFF00000000}"/>
  </bookViews>
  <sheets>
    <sheet name="Config" sheetId="41" state="hidden" r:id="rId1"/>
    <sheet name="METAS" sheetId="44" state="hidden" r:id="rId2"/>
    <sheet name="ACUMULADO" sheetId="15" state="hidden" r:id="rId3"/>
    <sheet name="NIÑO" sheetId="68" r:id="rId4"/>
    <sheet name="NUTRICION" sheetId="69" r:id="rId5"/>
    <sheet name="Hoja1" sheetId="76" state="hidden" r:id="rId6"/>
  </sheets>
  <externalReferences>
    <externalReference r:id="rId7"/>
  </externalReferences>
  <definedNames>
    <definedName name="_xlnm._FilterDatabase" localSheetId="2" hidden="1">ACUMULADO!$A$3:$BP$27</definedName>
    <definedName name="_xlnm._FilterDatabase" localSheetId="1" hidden="1">METAS!$A$3:$AP$177</definedName>
    <definedName name="ALTA_BASICA_ODONTOLOGICA">ACUMULADO!#REF!</definedName>
    <definedName name="ANIMAL_MORDEDOR_CONTROLADO">ACUMULADO!#REF!</definedName>
    <definedName name="_xlnm.Print_Area" localSheetId="3">NIÑO!$L$1:$S$554</definedName>
    <definedName name="_xlnm.Print_Area" localSheetId="4">NUTRICION!$L$1:$S$227</definedName>
    <definedName name="ATENCION_ODONTOLOGICA_PREVENTIVA">ACUMULADO!#REF!</definedName>
    <definedName name="ATENCIONES_MAY_15">ACUMULADO!#REF!</definedName>
    <definedName name="ATENDIDA">METAS!$AR$4:$AZ$4</definedName>
    <definedName name="AVANCE_cONTROL">#REF!</definedName>
    <definedName name="AVANCE_ENTOMOLOGICA">#REF!</definedName>
    <definedName name="AY20.">METAS!$A$178</definedName>
    <definedName name="CANES_VACUNADOS">ACUMULADO!#REF!</definedName>
    <definedName name="CAPACITACION_DOCENTES_CANCER">ACUMULADO!#REF!</definedName>
    <definedName name="CASOS_LEISHMANIA">ACUMULADO!#REF!</definedName>
    <definedName name="CASOS_LEISHMANIASIS">#REF!</definedName>
    <definedName name="CASOS_TBC">ACUMULADO!#REF!</definedName>
    <definedName name="CASOS_TBC_TAMIZADOS_VIH">ACUMULADO!#REF!</definedName>
    <definedName name="CERTIFICADOS_DISCAPACIDAD">ACUMULADO!#REF!</definedName>
    <definedName name="CONSEJERIA_VIH_ITS">ACUMULADO!#REF!</definedName>
    <definedName name="CONTACTO_CENSADO">ACUMULADO!#REF!</definedName>
    <definedName name="CONTACTO_EXAMINADO">ACUMULADO!#REF!</definedName>
    <definedName name="CONTROLADA">ACUMULADO!#REF!</definedName>
    <definedName name="DESPARACITACION_3_17ANIOS">ACUMULADO!#REF!</definedName>
    <definedName name="ERRORES_REFRACTARIOS_3_11ANIOS">ACUMULADO!#REF!</definedName>
    <definedName name="ESTRATEGIA_DRIANZA">ACUMULADO!#REF!</definedName>
    <definedName name="EVALUACION_ORAL_COMPLETA">ACUMULADO!#REF!</definedName>
    <definedName name="INFLUENZA_60MAS">ACUMULADO!#REF!</definedName>
    <definedName name="IVA">ACUMULADO!#REF!</definedName>
    <definedName name="IVAA">ACUMULADO!#REF!</definedName>
    <definedName name="MAMAS">ACUMULADO!#REF!</definedName>
    <definedName name="META_ADUL_JOVEN_CONSEJERIA_VIH_ITS">METAS!$AR$23:$AZ$23</definedName>
    <definedName name="META_ANIMAL_MORDEDOR_CONTROLADO">METAS!$AR$36:$AZ$36</definedName>
    <definedName name="META_ATENCION_ODONTOLOGICA_PREVENTIVA">METAS!$AR$47:$AZ$47</definedName>
    <definedName name="META_CANES_VACUNADOS">METAS!$AR$34:$AZ$34</definedName>
    <definedName name="META_CETIFICACION_DISCAPACIDAD">METAS!$AR$19:$AZ$19</definedName>
    <definedName name="META_DESPARACITACION_3_17ANIOS">METAS!$AR$21:$AZ$21</definedName>
    <definedName name="META_DOCENTES_CAPACITADOS_CANCER">METAS!$AR$20:$AZ$20</definedName>
    <definedName name="META_ENTOMOLOGICA">METAS!#REF!</definedName>
    <definedName name="META_ERRORES_REFRACTARIOS_3_11ANIOS">METAS!$AR$44:$AZ$44</definedName>
    <definedName name="META_ESTRATEGIA_DRIANZA">METAS!$AR$65:$AZ$65</definedName>
    <definedName name="META_INFLUE_60MAS">METAS!$AR$17:$AZ$17</definedName>
    <definedName name="META_IVAA">METAS!$AR$14:$AZ$14</definedName>
    <definedName name="META_MAMAS">METAS!$AR$15:$AZ$15</definedName>
    <definedName name="META_MUESTRA_POSITIVAS_MURCIELAGOS">METAS!$AR$35:$AZ$35</definedName>
    <definedName name="META_MUESTRAS_CANINAS_REMITIDAS">METAS!$AR$33:$AZ$33</definedName>
    <definedName name="META_NEUMO_60MAS">METAS!$AR$16:$AZ$16</definedName>
    <definedName name="META_PAP">METAS!$AR$13:$AZ$13</definedName>
    <definedName name="META_PAREJAS_PROTEGIDAS">METAS!$AR$12:$AZ$12</definedName>
    <definedName name="META_PERSONAS_MORDIDAS">METAS!$AR$30:$AZ$30</definedName>
    <definedName name="META_PERSONAS_MORDIDAS_CONTROLADAS">METAS!$AR$31:$AZ$31</definedName>
    <definedName name="META_PERSONAS_MORDIDAS_INICIAN_TRATAMIENTO">METAS!$AR$32:$AZ$32</definedName>
    <definedName name="META_PUERPERAS_CONTOLADAS">METAS!$AR$11:$AZ$11</definedName>
    <definedName name="META_RABIA_CANINA">METAS!$AR$37:$AZ$37</definedName>
    <definedName name="META_SEGUNDA_ATEN_DONT">METAS!$AR$10:$AZ$10</definedName>
    <definedName name="META_SESION_ENTRANAMIENTO_ADOLESCENTES">METAS!$AR$63:$AZ$63</definedName>
    <definedName name="META_SESION_ENTRENAMIENTO_NIÑOS">METAS!$AR$64:$AZ$64</definedName>
    <definedName name="META_SRI">METAS!$AR$40:$BA$40</definedName>
    <definedName name="META_SUPLE_HIERRO">METAS!$AR$9:$AZ$9</definedName>
    <definedName name="META_TAMIZAJE_CATARATA">METAS!$AR$45:$AZ$45</definedName>
    <definedName name="META_TAMIZAJE_DEPRE_ALVOHOL_CONDUCTA_SUICIDA">METAS!$AR$53:$AZ$53</definedName>
    <definedName name="META_TAMIZAJE_GLAUCOMA">METAS!$AR$46:$AZ$46</definedName>
    <definedName name="META_TAMIZAJE_VIF">METAS!$AR$54:$AZ$54</definedName>
    <definedName name="META_TAMIZAJE_VIF_0_17">METAS!$AR$55:$AZ$55</definedName>
    <definedName name="META_TAMIZAJE_VIH_SIFILIS">METAS!$AR$24:$AZ$24</definedName>
    <definedName name="META_TTO_ANSIEDAD">METAS!$AR$62:$AZ$62</definedName>
    <definedName name="META_TTO_CONDUCTA_SUICIDA">METAS!$AR$61:$AZ$61</definedName>
    <definedName name="META_TTO_DEPRESION">METAS!$AR$60:$AZ$60</definedName>
    <definedName name="META_TTO_MALTRATO_0_17">METAS!$AR$57:$AZ$57</definedName>
    <definedName name="META_TTO_TRANSTORNO_AUTISTA_0_17">METAS!$AR$58:$AZ$58</definedName>
    <definedName name="META_TTO_TRANSTORNOS_MENTALES_0_17">METAS!$AR$59:$AZ$59</definedName>
    <definedName name="META_TTO_VIF">METAS!$AR$56:$AZ$56</definedName>
    <definedName name="META_VALORACION_60MAS">METAS!$AR$18:$AZ$18</definedName>
    <definedName name="META_VPH_9AÑIOS">METAS!$AR$22:$AZ$22</definedName>
    <definedName name="MUESTRA_POSITIVAS_MURCIELAGOS">ACUMULADO!#REF!</definedName>
    <definedName name="MUESTRAS_CANINAS_REMITIDAS">ACUMULADO!#REF!</definedName>
    <definedName name="NEUMO_60MAS">ACUMULADO!#REF!</definedName>
    <definedName name="PAP">ACUMULADO!#REF!</definedName>
    <definedName name="PAREJAS_PROTEGIDAS">ACUMULADO!#REF!</definedName>
    <definedName name="PERSONAS_MORDIDAS">ACUMULADO!#REF!</definedName>
    <definedName name="PERSONAS_MORDIDAS_CONTROLADAS">ACUMULADO!#REF!</definedName>
    <definedName name="PERSONAS_MORDIDAS_INICIAN_TRATAMIENTO">ACUMULADO!#REF!</definedName>
    <definedName name="POBLACION_TOTAL">METAS!$AR$27:$AZ$27</definedName>
    <definedName name="Print_Area" localSheetId="3">NIÑO!$L$1:$S$511</definedName>
    <definedName name="Print_Area" localSheetId="4">NUTRICION!$L$1:$S$226,NUTRICION!$T$1:$AA$41</definedName>
    <definedName name="PUERPERAS_CONTROLADAS">ACUMULADO!#REF!</definedName>
    <definedName name="RABIA_CANINA">ACUMULADO!#REF!</definedName>
    <definedName name="SEGUNDA_ATEN_DONT">ACUMULADO!#REF!</definedName>
    <definedName name="SESION_ENTRENAMIENTO_ADOLESCENTES">ACUMULADO!#REF!</definedName>
    <definedName name="SESION_ENTRENAMIENTO_NIÑOS">ACUMULADO!#REF!</definedName>
    <definedName name="SIFILIS_REACTIVO_GESTANTE">ACUMULADO!#REF!</definedName>
    <definedName name="SRI">ACUMULADO!#REF!</definedName>
    <definedName name="SUPLEMENTADA_HIERRO">ACUMULADO!#REF!</definedName>
    <definedName name="TAMIZAJE_CATARATA">ACUMULADO!#REF!</definedName>
    <definedName name="TAMIZAJE_DEPRE_ALVOHOL_CONDUCTA_SUICIDA">ACUMULADO!#REF!</definedName>
    <definedName name="TAMIZAJE_GLAUCOMA">ACUMULADO!#REF!</definedName>
    <definedName name="TAMIZAJE_VIF">ACUMULADO!#REF!</definedName>
    <definedName name="TAMIZAJE_VIF_0_17">ACUMULADO!#REF!</definedName>
    <definedName name="TAMIZAJE_VIH_ITS">ACUMULADO!#REF!</definedName>
    <definedName name="TITULO_GRAFICO">#REF!</definedName>
    <definedName name="TTO_ANSIEDAD">ACUMULADO!#REF!</definedName>
    <definedName name="TTO_COMPLETO_LEIHS">ACUMULADO!#REF!</definedName>
    <definedName name="TTO_CONDUCTA_SUICIDA">ACUMULADO!#REF!</definedName>
    <definedName name="TTO_DEPRESION">ACUMULADO!#REF!</definedName>
    <definedName name="TTO_MALTRATO_0_17">ACUMULADO!#REF!</definedName>
    <definedName name="TTO_SIFILIS_GESTANTE">ACUMULADO!#REF!</definedName>
    <definedName name="TTO_TRANSTORNO_AUTISTA_0_17">ACUMULADO!#REF!</definedName>
    <definedName name="TTO_TRANSTORNOS_MENTALES_0_17">ACUMULADO!#REF!</definedName>
    <definedName name="TTO_VIF">ACUMULADO!#REF!</definedName>
    <definedName name="VALORACION_CLINICA_60MAS">ACUMULADO!#REF!</definedName>
    <definedName name="VIH_REACTIVO">ACUMULADO!#REF!</definedName>
    <definedName name="VPH_9ANIOS">ACUMULADO!#REF!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4" i="15" l="1"/>
  <c r="AU5" i="15"/>
  <c r="AU6" i="15"/>
  <c r="AU7" i="15"/>
  <c r="AU8" i="15"/>
  <c r="AU9" i="15"/>
  <c r="AU10" i="15"/>
  <c r="AU11" i="15"/>
  <c r="AU12" i="15"/>
  <c r="AU13" i="15"/>
  <c r="AU14" i="15"/>
  <c r="AU15" i="15"/>
  <c r="AU16" i="15"/>
  <c r="AU17" i="15"/>
  <c r="AU18" i="15"/>
  <c r="AU19" i="15"/>
  <c r="AU20" i="15"/>
  <c r="AU21" i="15"/>
  <c r="AU22" i="15"/>
  <c r="AU23" i="15"/>
  <c r="AU24" i="15"/>
  <c r="AU25" i="15"/>
  <c r="AU26" i="15"/>
  <c r="AU27" i="15"/>
  <c r="AU4" i="15"/>
  <c r="AT4" i="15"/>
  <c r="AW19" i="15"/>
  <c r="BB27" i="15" l="1"/>
  <c r="BA27" i="15"/>
  <c r="AZ27" i="15"/>
  <c r="AY27" i="15"/>
  <c r="AX27" i="15"/>
  <c r="AW27" i="15"/>
  <c r="AV27" i="15"/>
  <c r="BC27" i="15" s="1"/>
  <c r="AT27" i="15"/>
  <c r="BB26" i="15"/>
  <c r="BA26" i="15"/>
  <c r="AZ26" i="15"/>
  <c r="AY26" i="15"/>
  <c r="AX26" i="15"/>
  <c r="AW26" i="15"/>
  <c r="AV26" i="15"/>
  <c r="AT26" i="15"/>
  <c r="BB25" i="15"/>
  <c r="BA25" i="15"/>
  <c r="AZ25" i="15"/>
  <c r="AY25" i="15"/>
  <c r="AX25" i="15"/>
  <c r="AW25" i="15"/>
  <c r="AV25" i="15"/>
  <c r="AT25" i="15"/>
  <c r="BC25" i="15" s="1"/>
  <c r="BB24" i="15"/>
  <c r="BA24" i="15"/>
  <c r="AZ24" i="15"/>
  <c r="AY24" i="15"/>
  <c r="AX24" i="15"/>
  <c r="AW24" i="15"/>
  <c r="AV24" i="15"/>
  <c r="BC24" i="15"/>
  <c r="AT24" i="15"/>
  <c r="BB23" i="15"/>
  <c r="BA23" i="15"/>
  <c r="AZ23" i="15"/>
  <c r="AY23" i="15"/>
  <c r="AX23" i="15"/>
  <c r="AW23" i="15"/>
  <c r="AV23" i="15"/>
  <c r="BC23" i="15" s="1"/>
  <c r="AT23" i="15"/>
  <c r="BB22" i="15"/>
  <c r="BA22" i="15"/>
  <c r="AZ22" i="15"/>
  <c r="AY22" i="15"/>
  <c r="AX22" i="15"/>
  <c r="AW22" i="15"/>
  <c r="BC22" i="15" s="1"/>
  <c r="AV22" i="15"/>
  <c r="AT22" i="15"/>
  <c r="BB21" i="15"/>
  <c r="BA21" i="15"/>
  <c r="AZ21" i="15"/>
  <c r="AY21" i="15"/>
  <c r="AX21" i="15"/>
  <c r="AW21" i="15"/>
  <c r="AV21" i="15"/>
  <c r="AT21" i="15"/>
  <c r="BC21" i="15" s="1"/>
  <c r="BB20" i="15"/>
  <c r="BA20" i="15"/>
  <c r="AZ20" i="15"/>
  <c r="AY20" i="15"/>
  <c r="AX20" i="15"/>
  <c r="AW20" i="15"/>
  <c r="AV20" i="15"/>
  <c r="AT20" i="15"/>
  <c r="BB19" i="15"/>
  <c r="BA19" i="15"/>
  <c r="AZ19" i="15"/>
  <c r="AY19" i="15"/>
  <c r="AX19" i="15"/>
  <c r="AV19" i="15"/>
  <c r="AT19" i="15"/>
  <c r="BB18" i="15"/>
  <c r="BA18" i="15"/>
  <c r="AZ18" i="15"/>
  <c r="AY18" i="15"/>
  <c r="AX18" i="15"/>
  <c r="AW18" i="15"/>
  <c r="AV18" i="15"/>
  <c r="AT18" i="15"/>
  <c r="BB17" i="15"/>
  <c r="BA17" i="15"/>
  <c r="AZ17" i="15"/>
  <c r="AY17" i="15"/>
  <c r="AX17" i="15"/>
  <c r="AW17" i="15"/>
  <c r="AV17" i="15"/>
  <c r="AT17" i="15"/>
  <c r="BB16" i="15"/>
  <c r="BA16" i="15"/>
  <c r="AZ16" i="15"/>
  <c r="AY16" i="15"/>
  <c r="AX16" i="15"/>
  <c r="AW16" i="15"/>
  <c r="AV16" i="15"/>
  <c r="AT16" i="15"/>
  <c r="BB15" i="15"/>
  <c r="BA15" i="15"/>
  <c r="AZ15" i="15"/>
  <c r="AY15" i="15"/>
  <c r="AX15" i="15"/>
  <c r="AW15" i="15"/>
  <c r="AV15" i="15"/>
  <c r="AT15" i="15"/>
  <c r="BB14" i="15"/>
  <c r="BA14" i="15"/>
  <c r="AZ14" i="15"/>
  <c r="AY14" i="15"/>
  <c r="AX14" i="15"/>
  <c r="AW14" i="15"/>
  <c r="AV14" i="15"/>
  <c r="AT14" i="15"/>
  <c r="BB13" i="15"/>
  <c r="BA13" i="15"/>
  <c r="AZ13" i="15"/>
  <c r="AY13" i="15"/>
  <c r="AX13" i="15"/>
  <c r="AW13" i="15"/>
  <c r="AV13" i="15"/>
  <c r="AT13" i="15"/>
  <c r="BB12" i="15"/>
  <c r="BA12" i="15"/>
  <c r="AZ12" i="15"/>
  <c r="AY12" i="15"/>
  <c r="AX12" i="15"/>
  <c r="AW12" i="15"/>
  <c r="AV12" i="15"/>
  <c r="AT12" i="15"/>
  <c r="BB11" i="15"/>
  <c r="BA11" i="15"/>
  <c r="AZ11" i="15"/>
  <c r="AY11" i="15"/>
  <c r="AX11" i="15"/>
  <c r="AW11" i="15"/>
  <c r="AV11" i="15"/>
  <c r="AT11" i="15"/>
  <c r="BB10" i="15"/>
  <c r="BA10" i="15"/>
  <c r="AZ10" i="15"/>
  <c r="AY10" i="15"/>
  <c r="AX10" i="15"/>
  <c r="AW10" i="15"/>
  <c r="AV10" i="15"/>
  <c r="AT10" i="15"/>
  <c r="BB9" i="15"/>
  <c r="BA9" i="15"/>
  <c r="AZ9" i="15"/>
  <c r="AY9" i="15"/>
  <c r="AX9" i="15"/>
  <c r="AW9" i="15"/>
  <c r="AV9" i="15"/>
  <c r="AT9" i="15"/>
  <c r="BB8" i="15"/>
  <c r="BA8" i="15"/>
  <c r="AZ8" i="15"/>
  <c r="AY8" i="15"/>
  <c r="AX8" i="15"/>
  <c r="AW8" i="15"/>
  <c r="AV8" i="15"/>
  <c r="AT8" i="15"/>
  <c r="BB7" i="15"/>
  <c r="BA7" i="15"/>
  <c r="AZ7" i="15"/>
  <c r="AY7" i="15"/>
  <c r="AX7" i="15"/>
  <c r="AW7" i="15"/>
  <c r="AV7" i="15"/>
  <c r="AT7" i="15"/>
  <c r="BB6" i="15"/>
  <c r="BA6" i="15"/>
  <c r="AZ6" i="15"/>
  <c r="AY6" i="15"/>
  <c r="AX6" i="15"/>
  <c r="AW6" i="15"/>
  <c r="AV6" i="15"/>
  <c r="AT6" i="15"/>
  <c r="BB5" i="15"/>
  <c r="BA5" i="15"/>
  <c r="AZ5" i="15"/>
  <c r="AY5" i="15"/>
  <c r="AX5" i="15"/>
  <c r="AW5" i="15"/>
  <c r="AV5" i="15"/>
  <c r="AT5" i="15"/>
  <c r="BB4" i="15"/>
  <c r="BA4" i="15"/>
  <c r="AZ4" i="15"/>
  <c r="AY4" i="15"/>
  <c r="AX4" i="15"/>
  <c r="AW4" i="15"/>
  <c r="BC19" i="15"/>
  <c r="BC20" i="15" l="1"/>
  <c r="BC4" i="15"/>
  <c r="BC6" i="15"/>
  <c r="BC8" i="15"/>
  <c r="BC11" i="15"/>
  <c r="BC12" i="15"/>
  <c r="BC13" i="15"/>
  <c r="BC15" i="15"/>
  <c r="BC16" i="15"/>
  <c r="BC17" i="15"/>
  <c r="BC18" i="15"/>
  <c r="BC9" i="15"/>
  <c r="BC10" i="15"/>
  <c r="BC14" i="15"/>
  <c r="BC26" i="15"/>
  <c r="BC5" i="15"/>
  <c r="BC7" i="15"/>
  <c r="AR69" i="44"/>
  <c r="AS69" i="44"/>
  <c r="AT69" i="44"/>
  <c r="AU69" i="44"/>
  <c r="AV69" i="44"/>
  <c r="AW69" i="44"/>
  <c r="AX69" i="44"/>
  <c r="AY69" i="44"/>
  <c r="AZ69" i="44"/>
  <c r="AR70" i="44"/>
  <c r="AS70" i="44"/>
  <c r="AT70" i="44"/>
  <c r="AU70" i="44"/>
  <c r="AV70" i="44"/>
  <c r="AW70" i="44"/>
  <c r="AX70" i="44"/>
  <c r="AY70" i="44"/>
  <c r="AZ70" i="44"/>
  <c r="AR71" i="44"/>
  <c r="AS71" i="44"/>
  <c r="AT71" i="44"/>
  <c r="AU71" i="44"/>
  <c r="AV71" i="44"/>
  <c r="AW71" i="44"/>
  <c r="AX71" i="44"/>
  <c r="AY71" i="44"/>
  <c r="AZ71" i="44"/>
  <c r="AR72" i="44"/>
  <c r="AS72" i="44"/>
  <c r="AT72" i="44"/>
  <c r="AU72" i="44"/>
  <c r="AV72" i="44"/>
  <c r="AW72" i="44"/>
  <c r="AX72" i="44"/>
  <c r="AY72" i="44"/>
  <c r="AZ72" i="44"/>
  <c r="AR73" i="44"/>
  <c r="AS73" i="44"/>
  <c r="AT73" i="44"/>
  <c r="AU73" i="44"/>
  <c r="AV73" i="44"/>
  <c r="AW73" i="44"/>
  <c r="AX73" i="44"/>
  <c r="AY73" i="44"/>
  <c r="AZ73" i="44"/>
  <c r="AR74" i="44"/>
  <c r="AS74" i="44"/>
  <c r="AT74" i="44"/>
  <c r="AU74" i="44"/>
  <c r="AV74" i="44"/>
  <c r="AW74" i="44"/>
  <c r="AX74" i="44"/>
  <c r="AY74" i="44"/>
  <c r="AZ74" i="44"/>
  <c r="AR75" i="44"/>
  <c r="AS75" i="44"/>
  <c r="AT75" i="44"/>
  <c r="AU75" i="44"/>
  <c r="AV75" i="44"/>
  <c r="AW75" i="44"/>
  <c r="AX75" i="44"/>
  <c r="AY75" i="44"/>
  <c r="AZ75" i="44"/>
  <c r="AR76" i="44"/>
  <c r="AS76" i="44"/>
  <c r="AT76" i="44"/>
  <c r="AU76" i="44"/>
  <c r="AV76" i="44"/>
  <c r="AW76" i="44"/>
  <c r="AX76" i="44"/>
  <c r="AY76" i="44"/>
  <c r="AZ76" i="44"/>
  <c r="AR77" i="44"/>
  <c r="AS77" i="44"/>
  <c r="AT77" i="44"/>
  <c r="AU77" i="44"/>
  <c r="AV77" i="44"/>
  <c r="AW77" i="44"/>
  <c r="AX77" i="44"/>
  <c r="AY77" i="44"/>
  <c r="AZ77" i="44"/>
  <c r="AR78" i="44"/>
  <c r="AS78" i="44"/>
  <c r="AT78" i="44"/>
  <c r="AU78" i="44"/>
  <c r="AV78" i="44"/>
  <c r="AW78" i="44"/>
  <c r="AX78" i="44"/>
  <c r="AY78" i="44"/>
  <c r="AZ78" i="44"/>
  <c r="AR79" i="44"/>
  <c r="AS79" i="44"/>
  <c r="AT79" i="44"/>
  <c r="AU79" i="44"/>
  <c r="AV79" i="44"/>
  <c r="AW79" i="44"/>
  <c r="AX79" i="44"/>
  <c r="AY79" i="44"/>
  <c r="AZ79" i="44"/>
  <c r="AR80" i="44"/>
  <c r="AS80" i="44"/>
  <c r="AT80" i="44"/>
  <c r="AU80" i="44"/>
  <c r="AV80" i="44"/>
  <c r="AW80" i="44"/>
  <c r="AX80" i="44"/>
  <c r="AY80" i="44"/>
  <c r="AZ80" i="44"/>
  <c r="AR81" i="44"/>
  <c r="AS81" i="44"/>
  <c r="AT81" i="44"/>
  <c r="AU81" i="44"/>
  <c r="AV81" i="44"/>
  <c r="AW81" i="44"/>
  <c r="AX81" i="44"/>
  <c r="AY81" i="44"/>
  <c r="AZ81" i="44"/>
  <c r="AR82" i="44"/>
  <c r="AS82" i="44"/>
  <c r="AT82" i="44"/>
  <c r="AU82" i="44"/>
  <c r="AV82" i="44"/>
  <c r="AW82" i="44"/>
  <c r="AX82" i="44"/>
  <c r="AY82" i="44"/>
  <c r="AZ82" i="44"/>
  <c r="AR83" i="44"/>
  <c r="AS83" i="44"/>
  <c r="AT83" i="44"/>
  <c r="AU83" i="44"/>
  <c r="AV83" i="44"/>
  <c r="AW83" i="44"/>
  <c r="AX83" i="44"/>
  <c r="AY83" i="44"/>
  <c r="AZ83" i="44"/>
  <c r="AR84" i="44"/>
  <c r="AS84" i="44"/>
  <c r="AT84" i="44"/>
  <c r="AU84" i="44"/>
  <c r="AV84" i="44"/>
  <c r="AW84" i="44"/>
  <c r="AX84" i="44"/>
  <c r="AY84" i="44"/>
  <c r="AZ84" i="44"/>
  <c r="AR85" i="44"/>
  <c r="AS85" i="44"/>
  <c r="AT85" i="44"/>
  <c r="AU85" i="44"/>
  <c r="AV85" i="44"/>
  <c r="AW85" i="44"/>
  <c r="AX85" i="44"/>
  <c r="AY85" i="44"/>
  <c r="AZ85" i="44"/>
  <c r="AR86" i="44"/>
  <c r="AS86" i="44"/>
  <c r="AT86" i="44"/>
  <c r="AU86" i="44"/>
  <c r="AV86" i="44"/>
  <c r="AW86" i="44"/>
  <c r="AX86" i="44"/>
  <c r="AY86" i="44"/>
  <c r="AZ86" i="44"/>
  <c r="AR87" i="44"/>
  <c r="AS87" i="44"/>
  <c r="AT87" i="44"/>
  <c r="AU87" i="44"/>
  <c r="AV87" i="44"/>
  <c r="AW87" i="44"/>
  <c r="AX87" i="44"/>
  <c r="AY87" i="44"/>
  <c r="AZ87" i="44"/>
  <c r="AR88" i="44"/>
  <c r="AS88" i="44"/>
  <c r="AT88" i="44"/>
  <c r="AU88" i="44"/>
  <c r="AV88" i="44"/>
  <c r="AW88" i="44"/>
  <c r="AX88" i="44"/>
  <c r="AY88" i="44"/>
  <c r="AZ88" i="44"/>
  <c r="AR89" i="44"/>
  <c r="AS89" i="44"/>
  <c r="AT89" i="44"/>
  <c r="AU89" i="44"/>
  <c r="AV89" i="44"/>
  <c r="AW89" i="44"/>
  <c r="AX89" i="44"/>
  <c r="AY89" i="44"/>
  <c r="AZ89" i="44"/>
  <c r="AR90" i="44"/>
  <c r="AS90" i="44"/>
  <c r="AT90" i="44"/>
  <c r="AU90" i="44"/>
  <c r="AV90" i="44"/>
  <c r="AW90" i="44"/>
  <c r="AX90" i="44"/>
  <c r="AY90" i="44"/>
  <c r="AZ90" i="44"/>
  <c r="C4" i="15"/>
  <c r="AR115" i="44"/>
  <c r="AS115" i="44"/>
  <c r="AT115" i="44"/>
  <c r="AU115" i="44"/>
  <c r="AV115" i="44"/>
  <c r="AW115" i="44"/>
  <c r="AX115" i="44"/>
  <c r="AY115" i="44"/>
  <c r="AZ115" i="44"/>
  <c r="AR116" i="44"/>
  <c r="AS116" i="44"/>
  <c r="AT116" i="44"/>
  <c r="AU116" i="44"/>
  <c r="AV116" i="44"/>
  <c r="AW116" i="44"/>
  <c r="AX116" i="44"/>
  <c r="AY116" i="44"/>
  <c r="AZ116" i="44"/>
  <c r="AR117" i="44"/>
  <c r="AS117" i="44"/>
  <c r="AT117" i="44"/>
  <c r="AU117" i="44"/>
  <c r="AV117" i="44"/>
  <c r="AW117" i="44"/>
  <c r="AX117" i="44"/>
  <c r="AY117" i="44"/>
  <c r="AZ117" i="44"/>
  <c r="AR118" i="44"/>
  <c r="AS118" i="44"/>
  <c r="AT118" i="44"/>
  <c r="AU118" i="44"/>
  <c r="AV118" i="44"/>
  <c r="AW118" i="44"/>
  <c r="AX118" i="44"/>
  <c r="AY118" i="44"/>
  <c r="AZ118" i="44"/>
  <c r="AR119" i="44"/>
  <c r="AS119" i="44"/>
  <c r="AT119" i="44"/>
  <c r="AU119" i="44"/>
  <c r="AV119" i="44"/>
  <c r="AW119" i="44"/>
  <c r="AX119" i="44"/>
  <c r="AY119" i="44"/>
  <c r="AZ119" i="44"/>
  <c r="AR120" i="44"/>
  <c r="AS120" i="44"/>
  <c r="AT120" i="44"/>
  <c r="AU120" i="44"/>
  <c r="AV120" i="44"/>
  <c r="AW120" i="44"/>
  <c r="AX120" i="44"/>
  <c r="AY120" i="44"/>
  <c r="AZ120" i="44"/>
  <c r="AR121" i="44"/>
  <c r="AS121" i="44"/>
  <c r="AT121" i="44"/>
  <c r="AU121" i="44"/>
  <c r="AV121" i="44"/>
  <c r="AW121" i="44"/>
  <c r="AX121" i="44"/>
  <c r="AY121" i="44"/>
  <c r="AZ121" i="44"/>
  <c r="AR122" i="44"/>
  <c r="AS122" i="44"/>
  <c r="AT122" i="44"/>
  <c r="AU122" i="44"/>
  <c r="AV122" i="44"/>
  <c r="AW122" i="44"/>
  <c r="AX122" i="44"/>
  <c r="AY122" i="44"/>
  <c r="AZ122" i="44"/>
  <c r="AR123" i="44"/>
  <c r="AS123" i="44"/>
  <c r="AT123" i="44"/>
  <c r="AU123" i="44"/>
  <c r="AV123" i="44"/>
  <c r="AW123" i="44"/>
  <c r="AX123" i="44"/>
  <c r="AY123" i="44"/>
  <c r="AZ123" i="44"/>
  <c r="AR124" i="44"/>
  <c r="AS124" i="44"/>
  <c r="AT124" i="44"/>
  <c r="AU124" i="44"/>
  <c r="AV124" i="44"/>
  <c r="AW124" i="44"/>
  <c r="AX124" i="44"/>
  <c r="AY124" i="44"/>
  <c r="AZ124" i="44"/>
  <c r="AR125" i="44"/>
  <c r="AS125" i="44"/>
  <c r="AT125" i="44"/>
  <c r="AU125" i="44"/>
  <c r="AV125" i="44"/>
  <c r="AW125" i="44"/>
  <c r="AX125" i="44"/>
  <c r="AY125" i="44"/>
  <c r="AZ125" i="44"/>
  <c r="AR126" i="44"/>
  <c r="AS126" i="44"/>
  <c r="AT126" i="44"/>
  <c r="AU126" i="44"/>
  <c r="AV126" i="44"/>
  <c r="AW126" i="44"/>
  <c r="AX126" i="44"/>
  <c r="AY126" i="44"/>
  <c r="AZ126" i="44"/>
  <c r="AR127" i="44"/>
  <c r="AS127" i="44"/>
  <c r="AT127" i="44"/>
  <c r="AU127" i="44"/>
  <c r="AV127" i="44"/>
  <c r="AW127" i="44"/>
  <c r="AX127" i="44"/>
  <c r="AY127" i="44"/>
  <c r="AZ127" i="44"/>
  <c r="AR128" i="44"/>
  <c r="AS128" i="44"/>
  <c r="AT128" i="44"/>
  <c r="AU128" i="44"/>
  <c r="AV128" i="44"/>
  <c r="AW128" i="44"/>
  <c r="AX128" i="44"/>
  <c r="AY128" i="44"/>
  <c r="AZ128" i="44"/>
  <c r="AR129" i="44"/>
  <c r="AS129" i="44"/>
  <c r="AT129" i="44"/>
  <c r="AU129" i="44"/>
  <c r="AV129" i="44"/>
  <c r="AW129" i="44"/>
  <c r="AX129" i="44"/>
  <c r="AY129" i="44"/>
  <c r="AZ129" i="44"/>
  <c r="AR130" i="44"/>
  <c r="AS130" i="44"/>
  <c r="AT130" i="44"/>
  <c r="AU130" i="44"/>
  <c r="AV130" i="44"/>
  <c r="AW130" i="44"/>
  <c r="AX130" i="44"/>
  <c r="AY130" i="44"/>
  <c r="AZ130" i="44"/>
  <c r="AR131" i="44"/>
  <c r="AS131" i="44"/>
  <c r="AT131" i="44"/>
  <c r="AU131" i="44"/>
  <c r="AV131" i="44"/>
  <c r="AW131" i="44"/>
  <c r="AX131" i="44"/>
  <c r="AY131" i="44"/>
  <c r="AZ131" i="44"/>
  <c r="AR132" i="44"/>
  <c r="AS132" i="44"/>
  <c r="AT132" i="44"/>
  <c r="AU132" i="44"/>
  <c r="AV132" i="44"/>
  <c r="AW132" i="44"/>
  <c r="AX132" i="44"/>
  <c r="AY132" i="44"/>
  <c r="AZ132" i="44"/>
  <c r="AR133" i="44"/>
  <c r="AS133" i="44"/>
  <c r="AT133" i="44"/>
  <c r="AU133" i="44"/>
  <c r="AV133" i="44"/>
  <c r="AW133" i="44"/>
  <c r="AX133" i="44"/>
  <c r="AY133" i="44"/>
  <c r="AZ133" i="44"/>
  <c r="AR134" i="44"/>
  <c r="AS134" i="44"/>
  <c r="AT134" i="44"/>
  <c r="AU134" i="44"/>
  <c r="AV134" i="44"/>
  <c r="AW134" i="44"/>
  <c r="AX134" i="44"/>
  <c r="AY134" i="44"/>
  <c r="AZ134" i="44"/>
  <c r="AR135" i="44"/>
  <c r="AS135" i="44"/>
  <c r="AT135" i="44"/>
  <c r="AU135" i="44"/>
  <c r="AV135" i="44"/>
  <c r="AW135" i="44"/>
  <c r="AX135" i="44"/>
  <c r="AY135" i="44"/>
  <c r="AZ135" i="44"/>
  <c r="AR136" i="44"/>
  <c r="AS136" i="44"/>
  <c r="AT136" i="44"/>
  <c r="AU136" i="44"/>
  <c r="AV136" i="44"/>
  <c r="AW136" i="44"/>
  <c r="AX136" i="44"/>
  <c r="AY136" i="44"/>
  <c r="AZ136" i="44"/>
  <c r="AR137" i="44"/>
  <c r="AS137" i="44"/>
  <c r="AT137" i="44"/>
  <c r="AU137" i="44"/>
  <c r="AV137" i="44"/>
  <c r="AW137" i="44"/>
  <c r="AX137" i="44"/>
  <c r="AY137" i="44"/>
  <c r="AZ137" i="44"/>
  <c r="AR138" i="44"/>
  <c r="AS138" i="44"/>
  <c r="AT138" i="44"/>
  <c r="AU138" i="44"/>
  <c r="AV138" i="44"/>
  <c r="AW138" i="44"/>
  <c r="AX138" i="44"/>
  <c r="AY138" i="44"/>
  <c r="AZ138" i="44"/>
  <c r="AR139" i="44"/>
  <c r="AS139" i="44"/>
  <c r="AT139" i="44"/>
  <c r="AU139" i="44"/>
  <c r="AV139" i="44"/>
  <c r="AW139" i="44"/>
  <c r="AX139" i="44"/>
  <c r="AY139" i="44"/>
  <c r="AZ139" i="44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R66" i="44"/>
  <c r="AS66" i="44"/>
  <c r="AT66" i="44"/>
  <c r="AU66" i="44"/>
  <c r="AV66" i="44"/>
  <c r="AW66" i="44"/>
  <c r="AX66" i="44"/>
  <c r="AY66" i="44"/>
  <c r="AZ66" i="44"/>
  <c r="AR67" i="44"/>
  <c r="AS67" i="44"/>
  <c r="AT67" i="44"/>
  <c r="AU67" i="44"/>
  <c r="AV67" i="44"/>
  <c r="AW67" i="44"/>
  <c r="AX67" i="44"/>
  <c r="AY67" i="44"/>
  <c r="AZ67" i="44"/>
  <c r="AR68" i="44"/>
  <c r="AS68" i="44"/>
  <c r="AT68" i="44"/>
  <c r="AU68" i="44"/>
  <c r="AV68" i="44"/>
  <c r="AW68" i="44"/>
  <c r="AX68" i="44"/>
  <c r="AY68" i="44"/>
  <c r="AZ68" i="44"/>
  <c r="BA71" i="44" l="1"/>
  <c r="BA83" i="44"/>
  <c r="BA75" i="44"/>
  <c r="BA121" i="44"/>
  <c r="BA87" i="44"/>
  <c r="BA129" i="44"/>
  <c r="BA89" i="44"/>
  <c r="BA85" i="44"/>
  <c r="BA79" i="44"/>
  <c r="BA73" i="44"/>
  <c r="BA81" i="44"/>
  <c r="BA77" i="44"/>
  <c r="BA90" i="44"/>
  <c r="BA82" i="44"/>
  <c r="BA74" i="44"/>
  <c r="BA137" i="44"/>
  <c r="BA84" i="44"/>
  <c r="BA76" i="44"/>
  <c r="BA86" i="44"/>
  <c r="BA78" i="44"/>
  <c r="BA70" i="44"/>
  <c r="BA88" i="44"/>
  <c r="BA80" i="44"/>
  <c r="BA72" i="44"/>
  <c r="BA69" i="44"/>
  <c r="BA125" i="44"/>
  <c r="BA123" i="44"/>
  <c r="BA135" i="44"/>
  <c r="BA117" i="44"/>
  <c r="BA139" i="44"/>
  <c r="BA136" i="44"/>
  <c r="BA127" i="44"/>
  <c r="BA133" i="44"/>
  <c r="BA131" i="44"/>
  <c r="BA128" i="44"/>
  <c r="BA119" i="44"/>
  <c r="BA138" i="44"/>
  <c r="BA130" i="44"/>
  <c r="BA122" i="44"/>
  <c r="BA115" i="44"/>
  <c r="BA132" i="44"/>
  <c r="BA124" i="44"/>
  <c r="BA116" i="44"/>
  <c r="BA120" i="44"/>
  <c r="BA134" i="44"/>
  <c r="BA126" i="44"/>
  <c r="BA118" i="44"/>
  <c r="BA67" i="44"/>
  <c r="BA66" i="44"/>
  <c r="BA68" i="44"/>
  <c r="C15" i="41" l="1"/>
  <c r="AR140" i="44" l="1"/>
  <c r="AS140" i="44"/>
  <c r="AT140" i="44"/>
  <c r="AU140" i="44"/>
  <c r="AV140" i="44"/>
  <c r="AW140" i="44"/>
  <c r="AX140" i="44"/>
  <c r="AY140" i="44"/>
  <c r="AZ140" i="44"/>
  <c r="AR141" i="44"/>
  <c r="AS141" i="44"/>
  <c r="AT141" i="44"/>
  <c r="AU141" i="44"/>
  <c r="AV141" i="44"/>
  <c r="AW141" i="44"/>
  <c r="AX141" i="44"/>
  <c r="AY141" i="44"/>
  <c r="AZ141" i="44"/>
  <c r="AR142" i="44"/>
  <c r="AS142" i="44"/>
  <c r="AT142" i="44"/>
  <c r="AU142" i="44"/>
  <c r="AV142" i="44"/>
  <c r="AW142" i="44"/>
  <c r="AX142" i="44"/>
  <c r="AY142" i="44"/>
  <c r="AZ142" i="44"/>
  <c r="AR143" i="44"/>
  <c r="AS143" i="44"/>
  <c r="AT143" i="44"/>
  <c r="AU143" i="44"/>
  <c r="AV143" i="44"/>
  <c r="AW143" i="44"/>
  <c r="AX143" i="44"/>
  <c r="AY143" i="44"/>
  <c r="AZ143" i="44"/>
  <c r="AR144" i="44"/>
  <c r="AS144" i="44"/>
  <c r="AT144" i="44"/>
  <c r="AU144" i="44"/>
  <c r="AV144" i="44"/>
  <c r="AW144" i="44"/>
  <c r="AX144" i="44"/>
  <c r="AY144" i="44"/>
  <c r="AZ144" i="44"/>
  <c r="AR145" i="44"/>
  <c r="AS145" i="44"/>
  <c r="AT145" i="44"/>
  <c r="AU145" i="44"/>
  <c r="AV145" i="44"/>
  <c r="AW145" i="44"/>
  <c r="AX145" i="44"/>
  <c r="AY145" i="44"/>
  <c r="AZ145" i="44"/>
  <c r="AR146" i="44"/>
  <c r="AS146" i="44"/>
  <c r="AT146" i="44"/>
  <c r="AU146" i="44"/>
  <c r="AV146" i="44"/>
  <c r="AW146" i="44"/>
  <c r="AX146" i="44"/>
  <c r="AY146" i="44"/>
  <c r="AZ146" i="44"/>
  <c r="AR147" i="44"/>
  <c r="AS147" i="44"/>
  <c r="AT147" i="44"/>
  <c r="AU147" i="44"/>
  <c r="AV147" i="44"/>
  <c r="AW147" i="44"/>
  <c r="AX147" i="44"/>
  <c r="AY147" i="44"/>
  <c r="AZ147" i="44"/>
  <c r="AR148" i="44"/>
  <c r="AS148" i="44"/>
  <c r="AT148" i="44"/>
  <c r="AU148" i="44"/>
  <c r="AV148" i="44"/>
  <c r="AW148" i="44"/>
  <c r="AX148" i="44"/>
  <c r="AY148" i="44"/>
  <c r="AZ148" i="44"/>
  <c r="AR149" i="44"/>
  <c r="AS149" i="44"/>
  <c r="AT149" i="44"/>
  <c r="AU149" i="44"/>
  <c r="AV149" i="44"/>
  <c r="AW149" i="44"/>
  <c r="AX149" i="44"/>
  <c r="AY149" i="44"/>
  <c r="AZ149" i="44"/>
  <c r="AR150" i="44"/>
  <c r="AS150" i="44"/>
  <c r="AT150" i="44"/>
  <c r="AU150" i="44"/>
  <c r="AV150" i="44"/>
  <c r="AW150" i="44"/>
  <c r="AX150" i="44"/>
  <c r="AY150" i="44"/>
  <c r="AZ150" i="44"/>
  <c r="AR151" i="44"/>
  <c r="AS151" i="44"/>
  <c r="AT151" i="44"/>
  <c r="AU151" i="44"/>
  <c r="AV151" i="44"/>
  <c r="AW151" i="44"/>
  <c r="AX151" i="44"/>
  <c r="AY151" i="44"/>
  <c r="AZ151" i="44"/>
  <c r="AR152" i="44"/>
  <c r="AS152" i="44"/>
  <c r="AT152" i="44"/>
  <c r="AU152" i="44"/>
  <c r="AV152" i="44"/>
  <c r="AW152" i="44"/>
  <c r="AX152" i="44"/>
  <c r="AY152" i="44"/>
  <c r="AZ152" i="44"/>
  <c r="AR153" i="44"/>
  <c r="AS153" i="44"/>
  <c r="AT153" i="44"/>
  <c r="AU153" i="44"/>
  <c r="AV153" i="44"/>
  <c r="AW153" i="44"/>
  <c r="AX153" i="44"/>
  <c r="AY153" i="44"/>
  <c r="AZ153" i="44"/>
  <c r="AR154" i="44"/>
  <c r="AS154" i="44"/>
  <c r="AT154" i="44"/>
  <c r="AU154" i="44"/>
  <c r="AV154" i="44"/>
  <c r="AW154" i="44"/>
  <c r="AX154" i="44"/>
  <c r="AY154" i="44"/>
  <c r="AZ154" i="44"/>
  <c r="AR155" i="44"/>
  <c r="AS155" i="44"/>
  <c r="AT155" i="44"/>
  <c r="AU155" i="44"/>
  <c r="AV155" i="44"/>
  <c r="AW155" i="44"/>
  <c r="AX155" i="44"/>
  <c r="AY155" i="44"/>
  <c r="AZ155" i="44"/>
  <c r="AR156" i="44"/>
  <c r="AS156" i="44"/>
  <c r="AT156" i="44"/>
  <c r="AU156" i="44"/>
  <c r="AV156" i="44"/>
  <c r="AW156" i="44"/>
  <c r="AX156" i="44"/>
  <c r="AY156" i="44"/>
  <c r="AZ156" i="44"/>
  <c r="AR157" i="44"/>
  <c r="AS157" i="44"/>
  <c r="AT157" i="44"/>
  <c r="AU157" i="44"/>
  <c r="AV157" i="44"/>
  <c r="AW157" i="44"/>
  <c r="AX157" i="44"/>
  <c r="AY157" i="44"/>
  <c r="AZ157" i="44"/>
  <c r="AR158" i="44"/>
  <c r="AS158" i="44"/>
  <c r="AT158" i="44"/>
  <c r="AU158" i="44"/>
  <c r="AV158" i="44"/>
  <c r="AW158" i="44"/>
  <c r="AX158" i="44"/>
  <c r="AY158" i="44"/>
  <c r="AZ158" i="44"/>
  <c r="AR159" i="44"/>
  <c r="AS159" i="44"/>
  <c r="AT159" i="44"/>
  <c r="AU159" i="44"/>
  <c r="AV159" i="44"/>
  <c r="AW159" i="44"/>
  <c r="AX159" i="44"/>
  <c r="AY159" i="44"/>
  <c r="AZ159" i="44"/>
  <c r="AR160" i="44"/>
  <c r="AS160" i="44"/>
  <c r="AT160" i="44"/>
  <c r="AU160" i="44"/>
  <c r="AV160" i="44"/>
  <c r="AW160" i="44"/>
  <c r="AX160" i="44"/>
  <c r="AY160" i="44"/>
  <c r="AZ160" i="44"/>
  <c r="AR161" i="44"/>
  <c r="AS161" i="44"/>
  <c r="AT161" i="44"/>
  <c r="AU161" i="44"/>
  <c r="AV161" i="44"/>
  <c r="AW161" i="44"/>
  <c r="AX161" i="44"/>
  <c r="AY161" i="44"/>
  <c r="AZ161" i="44"/>
  <c r="AR162" i="44"/>
  <c r="AS162" i="44"/>
  <c r="AT162" i="44"/>
  <c r="AU162" i="44"/>
  <c r="AV162" i="44"/>
  <c r="AW162" i="44"/>
  <c r="AX162" i="44"/>
  <c r="AY162" i="44"/>
  <c r="AZ162" i="44"/>
  <c r="AR163" i="44"/>
  <c r="AS163" i="44"/>
  <c r="AT163" i="44"/>
  <c r="AU163" i="44"/>
  <c r="AV163" i="44"/>
  <c r="AW163" i="44"/>
  <c r="AX163" i="44"/>
  <c r="AY163" i="44"/>
  <c r="AZ163" i="44"/>
  <c r="AR164" i="44"/>
  <c r="AS164" i="44"/>
  <c r="AT164" i="44"/>
  <c r="AU164" i="44"/>
  <c r="AV164" i="44"/>
  <c r="AW164" i="44"/>
  <c r="AX164" i="44"/>
  <c r="AY164" i="44"/>
  <c r="AZ164" i="44"/>
  <c r="AR165" i="44"/>
  <c r="AS165" i="44"/>
  <c r="AT165" i="44"/>
  <c r="AU165" i="44"/>
  <c r="AV165" i="44"/>
  <c r="AW165" i="44"/>
  <c r="AX165" i="44"/>
  <c r="AY165" i="44"/>
  <c r="AZ165" i="44"/>
  <c r="AR166" i="44"/>
  <c r="AS166" i="44"/>
  <c r="AT166" i="44"/>
  <c r="AU166" i="44"/>
  <c r="AV166" i="44"/>
  <c r="AW166" i="44"/>
  <c r="AX166" i="44"/>
  <c r="AY166" i="44"/>
  <c r="AZ166" i="44"/>
  <c r="AR167" i="44"/>
  <c r="AS167" i="44"/>
  <c r="AT167" i="44"/>
  <c r="AU167" i="44"/>
  <c r="AV167" i="44"/>
  <c r="AW167" i="44"/>
  <c r="AX167" i="44"/>
  <c r="AY167" i="44"/>
  <c r="AZ167" i="44"/>
  <c r="AR168" i="44"/>
  <c r="AS168" i="44"/>
  <c r="AT168" i="44"/>
  <c r="AU168" i="44"/>
  <c r="AV168" i="44"/>
  <c r="AW168" i="44"/>
  <c r="AX168" i="44"/>
  <c r="AY168" i="44"/>
  <c r="AZ168" i="44"/>
  <c r="AR169" i="44"/>
  <c r="AS169" i="44"/>
  <c r="AT169" i="44"/>
  <c r="AU169" i="44"/>
  <c r="AV169" i="44"/>
  <c r="AW169" i="44"/>
  <c r="AX169" i="44"/>
  <c r="AY169" i="44"/>
  <c r="AZ169" i="44"/>
  <c r="AR170" i="44"/>
  <c r="AS170" i="44"/>
  <c r="AT170" i="44"/>
  <c r="AU170" i="44"/>
  <c r="AV170" i="44"/>
  <c r="AW170" i="44"/>
  <c r="AX170" i="44"/>
  <c r="AY170" i="44"/>
  <c r="AZ170" i="44"/>
  <c r="AR171" i="44"/>
  <c r="AS171" i="44"/>
  <c r="AT171" i="44"/>
  <c r="AU171" i="44"/>
  <c r="AV171" i="44"/>
  <c r="AW171" i="44"/>
  <c r="AX171" i="44"/>
  <c r="AY171" i="44"/>
  <c r="AZ171" i="44"/>
  <c r="BA155" i="44" l="1"/>
  <c r="BA143" i="44"/>
  <c r="BA168" i="44"/>
  <c r="BA164" i="44"/>
  <c r="BA160" i="44"/>
  <c r="BA156" i="44"/>
  <c r="BA152" i="44"/>
  <c r="BA148" i="44"/>
  <c r="BA144" i="44"/>
  <c r="BA140" i="44"/>
  <c r="BA151" i="44"/>
  <c r="BA147" i="44"/>
  <c r="BA171" i="44"/>
  <c r="BA169" i="44"/>
  <c r="BA167" i="44"/>
  <c r="BA165" i="44"/>
  <c r="BA163" i="44"/>
  <c r="BA161" i="44"/>
  <c r="BA159" i="44"/>
  <c r="BA157" i="44"/>
  <c r="BA153" i="44"/>
  <c r="BA149" i="44"/>
  <c r="BA145" i="44"/>
  <c r="BA141" i="44"/>
  <c r="BA170" i="44"/>
  <c r="BA166" i="44"/>
  <c r="BA162" i="44"/>
  <c r="BA158" i="44"/>
  <c r="BA154" i="44"/>
  <c r="BA150" i="44"/>
  <c r="BA146" i="44"/>
  <c r="BA142" i="44"/>
  <c r="AS103" i="44" l="1"/>
  <c r="AT4" i="44" l="1"/>
  <c r="E231" i="69"/>
  <c r="E232" i="69" s="1"/>
  <c r="E233" i="69" s="1"/>
  <c r="E234" i="69" s="1"/>
  <c r="E235" i="69" s="1"/>
  <c r="E236" i="69" s="1"/>
  <c r="E237" i="69" s="1"/>
  <c r="E238" i="69" s="1"/>
  <c r="E239" i="69" s="1"/>
  <c r="E240" i="69" s="1"/>
  <c r="E211" i="69"/>
  <c r="E212" i="69" s="1"/>
  <c r="E213" i="69" s="1"/>
  <c r="E214" i="69" s="1"/>
  <c r="E215" i="69" s="1"/>
  <c r="E216" i="69" s="1"/>
  <c r="E217" i="69" s="1"/>
  <c r="E218" i="69" s="1"/>
  <c r="E219" i="69" s="1"/>
  <c r="E220" i="69" s="1"/>
  <c r="E189" i="69"/>
  <c r="E190" i="69" s="1"/>
  <c r="E191" i="69" s="1"/>
  <c r="E192" i="69" s="1"/>
  <c r="E193" i="69" s="1"/>
  <c r="E194" i="69" s="1"/>
  <c r="E195" i="69" s="1"/>
  <c r="E196" i="69" s="1"/>
  <c r="E197" i="69" s="1"/>
  <c r="E198" i="69" s="1"/>
  <c r="E168" i="69"/>
  <c r="E169" i="69" s="1"/>
  <c r="E170" i="69" s="1"/>
  <c r="E171" i="69" s="1"/>
  <c r="E172" i="69" s="1"/>
  <c r="E173" i="69" s="1"/>
  <c r="E174" i="69" s="1"/>
  <c r="E175" i="69" s="1"/>
  <c r="E176" i="69" s="1"/>
  <c r="E177" i="69" s="1"/>
  <c r="E147" i="69"/>
  <c r="E148" i="69" s="1"/>
  <c r="E149" i="69" s="1"/>
  <c r="E150" i="69" s="1"/>
  <c r="E151" i="69" s="1"/>
  <c r="E152" i="69" s="1"/>
  <c r="E153" i="69" s="1"/>
  <c r="E154" i="69" s="1"/>
  <c r="E155" i="69" s="1"/>
  <c r="E156" i="69" s="1"/>
  <c r="E128" i="69"/>
  <c r="E129" i="69" s="1"/>
  <c r="E130" i="69" s="1"/>
  <c r="E131" i="69" s="1"/>
  <c r="E132" i="69" s="1"/>
  <c r="E133" i="69" s="1"/>
  <c r="E134" i="69" s="1"/>
  <c r="E135" i="69" s="1"/>
  <c r="E136" i="69" s="1"/>
  <c r="E137" i="69" s="1"/>
  <c r="E106" i="69"/>
  <c r="E107" i="69" s="1"/>
  <c r="E108" i="69" s="1"/>
  <c r="E109" i="69" s="1"/>
  <c r="E110" i="69" s="1"/>
  <c r="E111" i="69" s="1"/>
  <c r="E112" i="69" s="1"/>
  <c r="E113" i="69" s="1"/>
  <c r="E114" i="69" s="1"/>
  <c r="E115" i="69" s="1"/>
  <c r="E87" i="69"/>
  <c r="E88" i="69" s="1"/>
  <c r="E89" i="69" s="1"/>
  <c r="E90" i="69" s="1"/>
  <c r="E91" i="69" s="1"/>
  <c r="E92" i="69" s="1"/>
  <c r="E93" i="69" s="1"/>
  <c r="E94" i="69" s="1"/>
  <c r="E95" i="69" s="1"/>
  <c r="E96" i="69" s="1"/>
  <c r="E66" i="69"/>
  <c r="E67" i="69" s="1"/>
  <c r="E68" i="69" s="1"/>
  <c r="E69" i="69" s="1"/>
  <c r="E70" i="69" s="1"/>
  <c r="E71" i="69" s="1"/>
  <c r="E72" i="69" s="1"/>
  <c r="E73" i="69" s="1"/>
  <c r="E74" i="69" s="1"/>
  <c r="E75" i="69" s="1"/>
  <c r="I3" i="69"/>
  <c r="J230" i="69" s="1"/>
  <c r="H3" i="69"/>
  <c r="H86" i="69" s="1"/>
  <c r="A251" i="69"/>
  <c r="A229" i="69"/>
  <c r="A253" i="69"/>
  <c r="AL253" i="69" s="1"/>
  <c r="AO252" i="69"/>
  <c r="AN252" i="69"/>
  <c r="AM252" i="69"/>
  <c r="AL252" i="69"/>
  <c r="A231" i="69"/>
  <c r="AL231" i="69" s="1"/>
  <c r="AO230" i="69"/>
  <c r="AN230" i="69"/>
  <c r="AM230" i="69"/>
  <c r="AL230" i="69"/>
  <c r="A209" i="69"/>
  <c r="V209" i="69" s="1"/>
  <c r="A187" i="69"/>
  <c r="V187" i="69" s="1"/>
  <c r="A166" i="69"/>
  <c r="V167" i="69" s="1"/>
  <c r="A145" i="69"/>
  <c r="V146" i="69" s="1"/>
  <c r="A126" i="69"/>
  <c r="V126" i="69" s="1"/>
  <c r="A104" i="69"/>
  <c r="V105" i="69" s="1"/>
  <c r="A85" i="69"/>
  <c r="V85" i="69" s="1"/>
  <c r="A64" i="69"/>
  <c r="V64" i="69" s="1"/>
  <c r="A43" i="69"/>
  <c r="V43" i="69" s="1"/>
  <c r="A24" i="69"/>
  <c r="V23" i="69" s="1"/>
  <c r="A5" i="69"/>
  <c r="V6" i="69" s="1"/>
  <c r="A269" i="68"/>
  <c r="A187" i="68"/>
  <c r="V187" i="68" s="1"/>
  <c r="A167" i="68"/>
  <c r="V166" i="68" s="1"/>
  <c r="A146" i="68"/>
  <c r="V145" i="68" s="1"/>
  <c r="A125" i="68"/>
  <c r="V125" i="68" s="1"/>
  <c r="A105" i="68"/>
  <c r="V105" i="68" s="1"/>
  <c r="A85" i="68"/>
  <c r="V84" i="68" s="1"/>
  <c r="A64" i="68"/>
  <c r="V64" i="68" s="1"/>
  <c r="V269" i="68"/>
  <c r="V289" i="68"/>
  <c r="V310" i="68"/>
  <c r="V330" i="68"/>
  <c r="V392" i="68"/>
  <c r="V371" i="68"/>
  <c r="V351" i="68"/>
  <c r="B444" i="68"/>
  <c r="V454" i="68"/>
  <c r="V433" i="68"/>
  <c r="V413" i="68"/>
  <c r="A43" i="68"/>
  <c r="V43" i="68" s="1"/>
  <c r="J44" i="68"/>
  <c r="I44" i="68"/>
  <c r="H44" i="68"/>
  <c r="J27" i="68"/>
  <c r="H27" i="68"/>
  <c r="I27" i="68"/>
  <c r="A26" i="68"/>
  <c r="V23" i="68" s="1"/>
  <c r="V6" i="68"/>
  <c r="B18" i="15"/>
  <c r="C18" i="15"/>
  <c r="B19" i="15"/>
  <c r="C19" i="15"/>
  <c r="B20" i="15"/>
  <c r="C20" i="15"/>
  <c r="B21" i="15"/>
  <c r="C21" i="15"/>
  <c r="B22" i="15"/>
  <c r="C22" i="15"/>
  <c r="B23" i="15"/>
  <c r="C23" i="15"/>
  <c r="B24" i="15"/>
  <c r="C24" i="15"/>
  <c r="B25" i="15"/>
  <c r="C25" i="15"/>
  <c r="B26" i="15"/>
  <c r="C26" i="15"/>
  <c r="B27" i="15"/>
  <c r="C27" i="15"/>
  <c r="H65" i="69" l="1"/>
  <c r="J86" i="69"/>
  <c r="I146" i="69"/>
  <c r="I230" i="69"/>
  <c r="I167" i="69"/>
  <c r="I65" i="69"/>
  <c r="I105" i="69"/>
  <c r="I188" i="69"/>
  <c r="I127" i="69"/>
  <c r="I210" i="69"/>
  <c r="J65" i="69"/>
  <c r="H44" i="69"/>
  <c r="I86" i="69"/>
  <c r="H105" i="69"/>
  <c r="H127" i="69"/>
  <c r="H146" i="69"/>
  <c r="H167" i="69"/>
  <c r="H188" i="69"/>
  <c r="H210" i="69"/>
  <c r="H230" i="69"/>
  <c r="J105" i="69"/>
  <c r="J127" i="69"/>
  <c r="J146" i="69"/>
  <c r="J167" i="69"/>
  <c r="J188" i="69"/>
  <c r="J210" i="69"/>
  <c r="V251" i="69"/>
  <c r="AL251" i="69"/>
  <c r="V229" i="69"/>
  <c r="AL229" i="69"/>
  <c r="C547" i="68"/>
  <c r="B547" i="68"/>
  <c r="C546" i="68"/>
  <c r="B546" i="68"/>
  <c r="C545" i="68"/>
  <c r="B545" i="68"/>
  <c r="C544" i="68"/>
  <c r="B544" i="68"/>
  <c r="C543" i="68"/>
  <c r="B543" i="68"/>
  <c r="C542" i="68"/>
  <c r="B542" i="68"/>
  <c r="C541" i="68"/>
  <c r="B541" i="68"/>
  <c r="C540" i="68"/>
  <c r="B540" i="68"/>
  <c r="C539" i="68"/>
  <c r="B539" i="68"/>
  <c r="A538" i="68"/>
  <c r="C526" i="68"/>
  <c r="B526" i="68"/>
  <c r="C525" i="68"/>
  <c r="B525" i="68"/>
  <c r="C524" i="68"/>
  <c r="B524" i="68"/>
  <c r="C523" i="68"/>
  <c r="B523" i="68"/>
  <c r="C522" i="68"/>
  <c r="B522" i="68"/>
  <c r="C521" i="68"/>
  <c r="B521" i="68"/>
  <c r="C520" i="68"/>
  <c r="B520" i="68"/>
  <c r="C519" i="68"/>
  <c r="B519" i="68"/>
  <c r="C518" i="68"/>
  <c r="B518" i="68"/>
  <c r="A517" i="68"/>
  <c r="D495" i="68"/>
  <c r="A495" i="68"/>
  <c r="A475" i="68"/>
  <c r="A455" i="68"/>
  <c r="A435" i="68"/>
  <c r="A414" i="68"/>
  <c r="A394" i="68"/>
  <c r="A372" i="68"/>
  <c r="C363" i="68"/>
  <c r="A354" i="68"/>
  <c r="A332" i="68"/>
  <c r="A312" i="68"/>
  <c r="A291" i="68"/>
  <c r="A271" i="68"/>
  <c r="C258" i="68"/>
  <c r="C257" i="68"/>
  <c r="C256" i="68"/>
  <c r="C255" i="68"/>
  <c r="C254" i="68"/>
  <c r="C253" i="68"/>
  <c r="C252" i="68"/>
  <c r="C251" i="68"/>
  <c r="E250" i="68"/>
  <c r="A250" i="68"/>
  <c r="C238" i="68"/>
  <c r="C237" i="68"/>
  <c r="C236" i="68"/>
  <c r="C235" i="68"/>
  <c r="C234" i="68"/>
  <c r="C233" i="68"/>
  <c r="C232" i="68"/>
  <c r="C231" i="68"/>
  <c r="E230" i="68"/>
  <c r="E231" i="68" s="1"/>
  <c r="E237" i="68" s="1"/>
  <c r="E232" i="68" s="1"/>
  <c r="E236" i="68" s="1"/>
  <c r="E233" i="68" s="1"/>
  <c r="E234" i="68" s="1"/>
  <c r="E235" i="68" s="1"/>
  <c r="E238" i="68" s="1"/>
  <c r="A230" i="68"/>
  <c r="C218" i="68"/>
  <c r="C217" i="68"/>
  <c r="C216" i="68"/>
  <c r="C215" i="68"/>
  <c r="C214" i="68"/>
  <c r="C213" i="68"/>
  <c r="C212" i="68"/>
  <c r="C211" i="68"/>
  <c r="E210" i="68"/>
  <c r="E211" i="68" s="1"/>
  <c r="E217" i="68" s="1"/>
  <c r="E212" i="68" s="1"/>
  <c r="E216" i="68" s="1"/>
  <c r="E213" i="68" s="1"/>
  <c r="E214" i="68" s="1"/>
  <c r="E215" i="68" s="1"/>
  <c r="E218" i="68" s="1"/>
  <c r="A210" i="68"/>
  <c r="A189" i="68"/>
  <c r="A169" i="68"/>
  <c r="A148" i="68"/>
  <c r="A127" i="68"/>
  <c r="A107" i="68"/>
  <c r="A87" i="68"/>
  <c r="A66" i="68"/>
  <c r="A45" i="68"/>
  <c r="A28" i="68"/>
  <c r="A7" i="68"/>
  <c r="V4" i="68"/>
  <c r="V3" i="68"/>
  <c r="I3" i="68"/>
  <c r="J494" i="68" s="1"/>
  <c r="H3" i="68"/>
  <c r="V1" i="68"/>
  <c r="A211" i="69"/>
  <c r="AL211" i="69" s="1"/>
  <c r="A189" i="69"/>
  <c r="AL189" i="69" s="1"/>
  <c r="AO174" i="69"/>
  <c r="AO173" i="69"/>
  <c r="A168" i="69"/>
  <c r="AL168" i="69" s="1"/>
  <c r="A147" i="69"/>
  <c r="AL147" i="69" s="1"/>
  <c r="A128" i="69"/>
  <c r="AL128" i="69" s="1"/>
  <c r="A106" i="69"/>
  <c r="AL106" i="69" s="1"/>
  <c r="A87" i="69"/>
  <c r="AL87" i="69" s="1"/>
  <c r="A66" i="69"/>
  <c r="AL66" i="69" s="1"/>
  <c r="E45" i="69"/>
  <c r="E46" i="69" s="1"/>
  <c r="E47" i="69" s="1"/>
  <c r="E48" i="69" s="1"/>
  <c r="E49" i="69" s="1"/>
  <c r="E50" i="69" s="1"/>
  <c r="E51" i="69" s="1"/>
  <c r="E52" i="69" s="1"/>
  <c r="E53" i="69" s="1"/>
  <c r="E54" i="69" s="1"/>
  <c r="A45" i="69"/>
  <c r="AL45" i="69" s="1"/>
  <c r="AO34" i="69"/>
  <c r="AO30" i="69"/>
  <c r="AO29" i="69"/>
  <c r="A26" i="69"/>
  <c r="AL26" i="69" s="1"/>
  <c r="AO14" i="69"/>
  <c r="AO10" i="69"/>
  <c r="A7" i="69"/>
  <c r="AL7" i="69" s="1"/>
  <c r="V4" i="69"/>
  <c r="V3" i="69"/>
  <c r="V1" i="69"/>
  <c r="AO210" i="69"/>
  <c r="AN210" i="69"/>
  <c r="AM210" i="69"/>
  <c r="AL210" i="69"/>
  <c r="AL209" i="69"/>
  <c r="AO188" i="69"/>
  <c r="AN188" i="69"/>
  <c r="AM188" i="69"/>
  <c r="AL188" i="69"/>
  <c r="AL187" i="69"/>
  <c r="AO167" i="69"/>
  <c r="AN167" i="69"/>
  <c r="AL167" i="69"/>
  <c r="AL166" i="69"/>
  <c r="AP146" i="69"/>
  <c r="AO146" i="69"/>
  <c r="AL146" i="69"/>
  <c r="AL145" i="69"/>
  <c r="AP127" i="69"/>
  <c r="AO127" i="69"/>
  <c r="AL127" i="69"/>
  <c r="AL126" i="69"/>
  <c r="AP105" i="69"/>
  <c r="AO105" i="69"/>
  <c r="AL105" i="69"/>
  <c r="AL104" i="69"/>
  <c r="AP86" i="69"/>
  <c r="AO86" i="69"/>
  <c r="AL86" i="69"/>
  <c r="AL85" i="69"/>
  <c r="AP65" i="69"/>
  <c r="AO65" i="69"/>
  <c r="AL65" i="69"/>
  <c r="AL64" i="69"/>
  <c r="AL54" i="69"/>
  <c r="AP44" i="69"/>
  <c r="AO44" i="69"/>
  <c r="AL44" i="69"/>
  <c r="AL43" i="69"/>
  <c r="AP35" i="69"/>
  <c r="AO35" i="69"/>
  <c r="AO33" i="69"/>
  <c r="AO28" i="69"/>
  <c r="F27" i="69"/>
  <c r="F28" i="69" s="1"/>
  <c r="F29" i="69" s="1"/>
  <c r="F30" i="69" s="1"/>
  <c r="F31" i="69" s="1"/>
  <c r="F32" i="69" s="1"/>
  <c r="F33" i="69" s="1"/>
  <c r="F34" i="69" s="1"/>
  <c r="F35" i="69" s="1"/>
  <c r="AO25" i="69"/>
  <c r="AN25" i="69"/>
  <c r="AL25" i="69"/>
  <c r="J25" i="69"/>
  <c r="I25" i="69"/>
  <c r="H25" i="69"/>
  <c r="AL24" i="69"/>
  <c r="AP16" i="69"/>
  <c r="AO16" i="69"/>
  <c r="AO8" i="69"/>
  <c r="F8" i="69"/>
  <c r="F9" i="69" s="1"/>
  <c r="F10" i="69" s="1"/>
  <c r="F11" i="69" s="1"/>
  <c r="F12" i="69" s="1"/>
  <c r="F13" i="69" s="1"/>
  <c r="F14" i="69" s="1"/>
  <c r="F15" i="69" s="1"/>
  <c r="F16" i="69" s="1"/>
  <c r="AO6" i="69"/>
  <c r="AN6" i="69"/>
  <c r="AL6" i="69"/>
  <c r="J6" i="69"/>
  <c r="I6" i="69"/>
  <c r="H6" i="69"/>
  <c r="AL5" i="69"/>
  <c r="D496" i="68"/>
  <c r="D502" i="68" s="1"/>
  <c r="D497" i="68" s="1"/>
  <c r="D501" i="68" s="1"/>
  <c r="D498" i="68" s="1"/>
  <c r="D499" i="68" s="1"/>
  <c r="D500" i="68" s="1"/>
  <c r="D503" i="68" s="1"/>
  <c r="D475" i="68"/>
  <c r="D476" i="68" s="1"/>
  <c r="D482" i="68" s="1"/>
  <c r="D477" i="68" s="1"/>
  <c r="D481" i="68" s="1"/>
  <c r="D478" i="68" s="1"/>
  <c r="D479" i="68" s="1"/>
  <c r="D480" i="68" s="1"/>
  <c r="D483" i="68" s="1"/>
  <c r="I474" i="68"/>
  <c r="H474" i="68"/>
  <c r="E455" i="68"/>
  <c r="E456" i="68" s="1"/>
  <c r="E457" i="68" s="1"/>
  <c r="E458" i="68" s="1"/>
  <c r="E459" i="68" s="1"/>
  <c r="E460" i="68" s="1"/>
  <c r="E461" i="68" s="1"/>
  <c r="E462" i="68" s="1"/>
  <c r="E463" i="68" s="1"/>
  <c r="J454" i="68"/>
  <c r="I454" i="68"/>
  <c r="H454" i="68"/>
  <c r="D435" i="68"/>
  <c r="D436" i="68" s="1"/>
  <c r="D437" i="68" s="1"/>
  <c r="D438" i="68" s="1"/>
  <c r="D439" i="68" s="1"/>
  <c r="D440" i="68" s="1"/>
  <c r="D441" i="68" s="1"/>
  <c r="D442" i="68" s="1"/>
  <c r="D443" i="68" s="1"/>
  <c r="D444" i="68" s="1"/>
  <c r="J434" i="68"/>
  <c r="I434" i="68"/>
  <c r="H434" i="68"/>
  <c r="E414" i="68"/>
  <c r="E415" i="68" s="1"/>
  <c r="E416" i="68" s="1"/>
  <c r="E417" i="68" s="1"/>
  <c r="E418" i="68" s="1"/>
  <c r="E419" i="68" s="1"/>
  <c r="E420" i="68" s="1"/>
  <c r="E421" i="68" s="1"/>
  <c r="E422" i="68" s="1"/>
  <c r="J413" i="68"/>
  <c r="I413" i="68"/>
  <c r="H413" i="68"/>
  <c r="V251" i="68"/>
  <c r="E251" i="68"/>
  <c r="E257" i="68" s="1"/>
  <c r="E252" i="68" s="1"/>
  <c r="E256" i="68" s="1"/>
  <c r="E253" i="68" s="1"/>
  <c r="E254" i="68" s="1"/>
  <c r="E255" i="68" s="1"/>
  <c r="E258" i="68" s="1"/>
  <c r="B250" i="68"/>
  <c r="V231" i="68"/>
  <c r="B230" i="68"/>
  <c r="V211" i="68"/>
  <c r="B210" i="68"/>
  <c r="G545" i="68" l="1"/>
  <c r="G526" i="68"/>
  <c r="G522" i="68"/>
  <c r="B538" i="68"/>
  <c r="G520" i="68"/>
  <c r="G524" i="68"/>
  <c r="G543" i="68"/>
  <c r="AO176" i="69"/>
  <c r="AO177" i="69"/>
  <c r="AO172" i="69"/>
  <c r="G525" i="68"/>
  <c r="G546" i="68"/>
  <c r="AO170" i="69"/>
  <c r="G544" i="68"/>
  <c r="AO7" i="69"/>
  <c r="AO9" i="69"/>
  <c r="AO26" i="69"/>
  <c r="AO13" i="69"/>
  <c r="AO168" i="69"/>
  <c r="C230" i="68"/>
  <c r="G547" i="68"/>
  <c r="I494" i="68"/>
  <c r="H494" i="68"/>
  <c r="G521" i="68"/>
  <c r="G541" i="68"/>
  <c r="AO12" i="69"/>
  <c r="C210" i="68"/>
  <c r="C250" i="68"/>
  <c r="G523" i="68"/>
  <c r="B517" i="68"/>
  <c r="G518" i="68"/>
  <c r="C517" i="68"/>
  <c r="G539" i="68"/>
  <c r="G519" i="68"/>
  <c r="J44" i="69"/>
  <c r="AO15" i="69"/>
  <c r="G540" i="68"/>
  <c r="G542" i="68"/>
  <c r="C538" i="68"/>
  <c r="AO11" i="69"/>
  <c r="AO31" i="69"/>
  <c r="AO27" i="69"/>
  <c r="AO32" i="69"/>
  <c r="AO171" i="69"/>
  <c r="I44" i="69"/>
  <c r="AO169" i="69"/>
  <c r="AO175" i="69"/>
  <c r="G517" i="68" l="1"/>
  <c r="V519" i="68" s="1"/>
  <c r="V518" i="68" s="1"/>
  <c r="G538" i="68"/>
  <c r="V540" i="68" s="1"/>
  <c r="V539" i="68" s="1"/>
  <c r="B4" i="15" l="1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AR44" i="44"/>
  <c r="AS44" i="44"/>
  <c r="AT44" i="44"/>
  <c r="AU44" i="44"/>
  <c r="AV44" i="44"/>
  <c r="AW44" i="44"/>
  <c r="AX44" i="44"/>
  <c r="AY44" i="44"/>
  <c r="AZ44" i="44"/>
  <c r="AR45" i="44"/>
  <c r="AS45" i="44"/>
  <c r="AT45" i="44"/>
  <c r="AU45" i="44"/>
  <c r="AV45" i="44"/>
  <c r="AW45" i="44"/>
  <c r="AX45" i="44"/>
  <c r="AY45" i="44"/>
  <c r="AZ45" i="44"/>
  <c r="AR46" i="44"/>
  <c r="AS46" i="44"/>
  <c r="AT46" i="44"/>
  <c r="AU46" i="44"/>
  <c r="AV46" i="44"/>
  <c r="AW46" i="44"/>
  <c r="AX46" i="44"/>
  <c r="AY46" i="44"/>
  <c r="AZ46" i="44"/>
  <c r="AR47" i="44"/>
  <c r="AS47" i="44"/>
  <c r="AT47" i="44"/>
  <c r="AU47" i="44"/>
  <c r="AV47" i="44"/>
  <c r="AW47" i="44"/>
  <c r="AX47" i="44"/>
  <c r="AY47" i="44"/>
  <c r="AZ47" i="44"/>
  <c r="AR48" i="44"/>
  <c r="AS48" i="44"/>
  <c r="AT48" i="44"/>
  <c r="AU48" i="44"/>
  <c r="AV48" i="44"/>
  <c r="AW48" i="44"/>
  <c r="AX48" i="44"/>
  <c r="AY48" i="44"/>
  <c r="AZ48" i="44"/>
  <c r="AR49" i="44"/>
  <c r="AS49" i="44"/>
  <c r="AT49" i="44"/>
  <c r="AU49" i="44"/>
  <c r="AV49" i="44"/>
  <c r="AW49" i="44"/>
  <c r="AX49" i="44"/>
  <c r="AY49" i="44"/>
  <c r="AZ49" i="44"/>
  <c r="AR50" i="44"/>
  <c r="AS50" i="44"/>
  <c r="AT50" i="44"/>
  <c r="AU50" i="44"/>
  <c r="AV50" i="44"/>
  <c r="AW50" i="44"/>
  <c r="AX50" i="44"/>
  <c r="AY50" i="44"/>
  <c r="AZ50" i="44"/>
  <c r="AR51" i="44"/>
  <c r="AS51" i="44"/>
  <c r="AT51" i="44"/>
  <c r="AU51" i="44"/>
  <c r="AV51" i="44"/>
  <c r="AW51" i="44"/>
  <c r="AX51" i="44"/>
  <c r="AY51" i="44"/>
  <c r="AZ51" i="44"/>
  <c r="AR52" i="44"/>
  <c r="AS52" i="44"/>
  <c r="AT52" i="44"/>
  <c r="AU52" i="44"/>
  <c r="AV52" i="44"/>
  <c r="AW52" i="44"/>
  <c r="AX52" i="44"/>
  <c r="AY52" i="44"/>
  <c r="AZ52" i="44"/>
  <c r="AR53" i="44"/>
  <c r="AS53" i="44"/>
  <c r="AT53" i="44"/>
  <c r="AU53" i="44"/>
  <c r="AV53" i="44"/>
  <c r="AW53" i="44"/>
  <c r="AX53" i="44"/>
  <c r="AY53" i="44"/>
  <c r="AZ53" i="44"/>
  <c r="AR54" i="44"/>
  <c r="AS54" i="44"/>
  <c r="AT54" i="44"/>
  <c r="AU54" i="44"/>
  <c r="AV54" i="44"/>
  <c r="AW54" i="44"/>
  <c r="AX54" i="44"/>
  <c r="AY54" i="44"/>
  <c r="AZ54" i="44"/>
  <c r="AR55" i="44"/>
  <c r="AS55" i="44"/>
  <c r="AT55" i="44"/>
  <c r="AU55" i="44"/>
  <c r="AV55" i="44"/>
  <c r="AW55" i="44"/>
  <c r="AX55" i="44"/>
  <c r="AY55" i="44"/>
  <c r="AZ55" i="44"/>
  <c r="AR56" i="44"/>
  <c r="AS56" i="44"/>
  <c r="AT56" i="44"/>
  <c r="AU56" i="44"/>
  <c r="AV56" i="44"/>
  <c r="AW56" i="44"/>
  <c r="AX56" i="44"/>
  <c r="AY56" i="44"/>
  <c r="AZ56" i="44"/>
  <c r="AR57" i="44"/>
  <c r="AS57" i="44"/>
  <c r="AT57" i="44"/>
  <c r="AU57" i="44"/>
  <c r="AV57" i="44"/>
  <c r="AW57" i="44"/>
  <c r="AX57" i="44"/>
  <c r="AY57" i="44"/>
  <c r="AZ57" i="44"/>
  <c r="AR58" i="44"/>
  <c r="AS58" i="44"/>
  <c r="AT58" i="44"/>
  <c r="AU58" i="44"/>
  <c r="AV58" i="44"/>
  <c r="AW58" i="44"/>
  <c r="AX58" i="44"/>
  <c r="AY58" i="44"/>
  <c r="AZ58" i="44"/>
  <c r="AR59" i="44"/>
  <c r="AS59" i="44"/>
  <c r="AT59" i="44"/>
  <c r="AU59" i="44"/>
  <c r="AV59" i="44"/>
  <c r="AW59" i="44"/>
  <c r="AX59" i="44"/>
  <c r="AY59" i="44"/>
  <c r="AZ59" i="44"/>
  <c r="AR60" i="44"/>
  <c r="AS60" i="44"/>
  <c r="AT60" i="44"/>
  <c r="AU60" i="44"/>
  <c r="AV60" i="44"/>
  <c r="AW60" i="44"/>
  <c r="AX60" i="44"/>
  <c r="AY60" i="44"/>
  <c r="AZ60" i="44"/>
  <c r="AR61" i="44"/>
  <c r="AS61" i="44"/>
  <c r="AT61" i="44"/>
  <c r="AU61" i="44"/>
  <c r="AV61" i="44"/>
  <c r="AW61" i="44"/>
  <c r="AX61" i="44"/>
  <c r="AY61" i="44"/>
  <c r="AZ61" i="44"/>
  <c r="AR62" i="44"/>
  <c r="AS62" i="44"/>
  <c r="AT62" i="44"/>
  <c r="AU62" i="44"/>
  <c r="AV62" i="44"/>
  <c r="AW62" i="44"/>
  <c r="AX62" i="44"/>
  <c r="AY62" i="44"/>
  <c r="AZ62" i="44"/>
  <c r="AR63" i="44"/>
  <c r="AS63" i="44"/>
  <c r="AT63" i="44"/>
  <c r="AU63" i="44"/>
  <c r="AV63" i="44"/>
  <c r="AW63" i="44"/>
  <c r="AX63" i="44"/>
  <c r="AY63" i="44"/>
  <c r="AZ63" i="44"/>
  <c r="AR64" i="44"/>
  <c r="AS64" i="44"/>
  <c r="AT64" i="44"/>
  <c r="AU64" i="44"/>
  <c r="AV64" i="44"/>
  <c r="AW64" i="44"/>
  <c r="AX64" i="44"/>
  <c r="AY64" i="44"/>
  <c r="AZ64" i="44"/>
  <c r="AR65" i="44"/>
  <c r="AS65" i="44"/>
  <c r="AT65" i="44"/>
  <c r="AU65" i="44"/>
  <c r="AV65" i="44"/>
  <c r="AW65" i="44"/>
  <c r="AX65" i="44"/>
  <c r="AY65" i="44"/>
  <c r="AZ65" i="44"/>
  <c r="AR91" i="44"/>
  <c r="B8" i="68" s="1"/>
  <c r="C8" i="68" s="1"/>
  <c r="AS91" i="44"/>
  <c r="B9" i="68" s="1"/>
  <c r="C9" i="68" s="1"/>
  <c r="AT91" i="44"/>
  <c r="B10" i="68" s="1"/>
  <c r="C10" i="68" s="1"/>
  <c r="AU91" i="44"/>
  <c r="B11" i="68" s="1"/>
  <c r="C11" i="68" s="1"/>
  <c r="AV91" i="44"/>
  <c r="B12" i="68" s="1"/>
  <c r="C12" i="68" s="1"/>
  <c r="AW91" i="44"/>
  <c r="B13" i="68" s="1"/>
  <c r="C13" i="68" s="1"/>
  <c r="AX91" i="44"/>
  <c r="B14" i="68" s="1"/>
  <c r="C14" i="68" s="1"/>
  <c r="AY91" i="44"/>
  <c r="B15" i="68" s="1"/>
  <c r="C15" i="68" s="1"/>
  <c r="AZ91" i="44"/>
  <c r="B16" i="68" s="1"/>
  <c r="C16" i="68" s="1"/>
  <c r="AR92" i="44"/>
  <c r="B29" i="68" s="1"/>
  <c r="C29" i="68" s="1"/>
  <c r="AS92" i="44"/>
  <c r="B30" i="68" s="1"/>
  <c r="C30" i="68" s="1"/>
  <c r="AT92" i="44"/>
  <c r="B31" i="68" s="1"/>
  <c r="C31" i="68" s="1"/>
  <c r="AU92" i="44"/>
  <c r="B32" i="68" s="1"/>
  <c r="C32" i="68" s="1"/>
  <c r="AV92" i="44"/>
  <c r="B33" i="68" s="1"/>
  <c r="C33" i="68" s="1"/>
  <c r="AW92" i="44"/>
  <c r="B34" i="68" s="1"/>
  <c r="C34" i="68" s="1"/>
  <c r="AX92" i="44"/>
  <c r="B35" i="68" s="1"/>
  <c r="C35" i="68" s="1"/>
  <c r="AY92" i="44"/>
  <c r="B36" i="68" s="1"/>
  <c r="C36" i="68" s="1"/>
  <c r="AZ92" i="44"/>
  <c r="B37" i="68" s="1"/>
  <c r="C37" i="68" s="1"/>
  <c r="AR93" i="44"/>
  <c r="B46" i="68" s="1"/>
  <c r="AS93" i="44"/>
  <c r="B47" i="68" s="1"/>
  <c r="AT93" i="44"/>
  <c r="B48" i="68" s="1"/>
  <c r="AU93" i="44"/>
  <c r="B49" i="68" s="1"/>
  <c r="AV93" i="44"/>
  <c r="B50" i="68" s="1"/>
  <c r="AW93" i="44"/>
  <c r="B51" i="68" s="1"/>
  <c r="AX93" i="44"/>
  <c r="B52" i="68" s="1"/>
  <c r="AY93" i="44"/>
  <c r="B53" i="68" s="1"/>
  <c r="AZ93" i="44"/>
  <c r="B54" i="68" s="1"/>
  <c r="AR94" i="44"/>
  <c r="B67" i="68" s="1"/>
  <c r="C67" i="68" s="1"/>
  <c r="AS94" i="44"/>
  <c r="B68" i="68" s="1"/>
  <c r="AT94" i="44"/>
  <c r="B69" i="68" s="1"/>
  <c r="AU94" i="44"/>
  <c r="B70" i="68" s="1"/>
  <c r="AV94" i="44"/>
  <c r="B71" i="68" s="1"/>
  <c r="AW94" i="44"/>
  <c r="B72" i="68" s="1"/>
  <c r="AX94" i="44"/>
  <c r="B73" i="68" s="1"/>
  <c r="AY94" i="44"/>
  <c r="B74" i="68" s="1"/>
  <c r="AZ94" i="44"/>
  <c r="B75" i="68" s="1"/>
  <c r="AR95" i="44"/>
  <c r="B88" i="68" s="1"/>
  <c r="AS95" i="44"/>
  <c r="B89" i="68" s="1"/>
  <c r="AT95" i="44"/>
  <c r="B90" i="68" s="1"/>
  <c r="AU95" i="44"/>
  <c r="B91" i="68" s="1"/>
  <c r="AV95" i="44"/>
  <c r="B92" i="68" s="1"/>
  <c r="AW95" i="44"/>
  <c r="B93" i="68" s="1"/>
  <c r="AX95" i="44"/>
  <c r="B94" i="68" s="1"/>
  <c r="AY95" i="44"/>
  <c r="B95" i="68" s="1"/>
  <c r="AZ95" i="44"/>
  <c r="B96" i="68" s="1"/>
  <c r="AR96" i="44"/>
  <c r="B108" i="68" s="1"/>
  <c r="AS96" i="44"/>
  <c r="B109" i="68" s="1"/>
  <c r="AT96" i="44"/>
  <c r="B110" i="68" s="1"/>
  <c r="AU96" i="44"/>
  <c r="B111" i="68" s="1"/>
  <c r="AV96" i="44"/>
  <c r="B112" i="68" s="1"/>
  <c r="AW96" i="44"/>
  <c r="B113" i="68" s="1"/>
  <c r="AX96" i="44"/>
  <c r="B114" i="68" s="1"/>
  <c r="AY96" i="44"/>
  <c r="B115" i="68" s="1"/>
  <c r="AZ96" i="44"/>
  <c r="B116" i="68" s="1"/>
  <c r="AR97" i="44"/>
  <c r="B128" i="68" s="1"/>
  <c r="AS97" i="44"/>
  <c r="B129" i="68" s="1"/>
  <c r="AT97" i="44"/>
  <c r="B130" i="68" s="1"/>
  <c r="AU97" i="44"/>
  <c r="B131" i="68" s="1"/>
  <c r="AV97" i="44"/>
  <c r="B132" i="68" s="1"/>
  <c r="AW97" i="44"/>
  <c r="B133" i="68" s="1"/>
  <c r="AX97" i="44"/>
  <c r="B134" i="68" s="1"/>
  <c r="AY97" i="44"/>
  <c r="B135" i="68" s="1"/>
  <c r="AZ97" i="44"/>
  <c r="B136" i="68" s="1"/>
  <c r="AR98" i="44"/>
  <c r="B149" i="68" s="1"/>
  <c r="AS98" i="44"/>
  <c r="B150" i="68" s="1"/>
  <c r="AT98" i="44"/>
  <c r="B151" i="68" s="1"/>
  <c r="AU98" i="44"/>
  <c r="B152" i="68" s="1"/>
  <c r="AV98" i="44"/>
  <c r="B153" i="68" s="1"/>
  <c r="AW98" i="44"/>
  <c r="B154" i="68" s="1"/>
  <c r="AX98" i="44"/>
  <c r="B155" i="68" s="1"/>
  <c r="AY98" i="44"/>
  <c r="B156" i="68" s="1"/>
  <c r="AZ98" i="44"/>
  <c r="B157" i="68" s="1"/>
  <c r="AR99" i="44"/>
  <c r="B170" i="68" s="1"/>
  <c r="AS99" i="44"/>
  <c r="B171" i="68" s="1"/>
  <c r="AT99" i="44"/>
  <c r="B172" i="68" s="1"/>
  <c r="AU99" i="44"/>
  <c r="B173" i="68" s="1"/>
  <c r="AV99" i="44"/>
  <c r="B174" i="68" s="1"/>
  <c r="AW99" i="44"/>
  <c r="B175" i="68" s="1"/>
  <c r="AX99" i="44"/>
  <c r="B176" i="68" s="1"/>
  <c r="AY99" i="44"/>
  <c r="B177" i="68" s="1"/>
  <c r="AZ99" i="44"/>
  <c r="B178" i="68" s="1"/>
  <c r="AR100" i="44"/>
  <c r="B190" i="68" s="1"/>
  <c r="AS100" i="44"/>
  <c r="B191" i="68" s="1"/>
  <c r="C191" i="68" s="1"/>
  <c r="AT100" i="44"/>
  <c r="B192" i="68" s="1"/>
  <c r="C192" i="68" s="1"/>
  <c r="AU100" i="44"/>
  <c r="B193" i="68" s="1"/>
  <c r="C193" i="68" s="1"/>
  <c r="AV100" i="44"/>
  <c r="B194" i="68" s="1"/>
  <c r="C194" i="68" s="1"/>
  <c r="AW100" i="44"/>
  <c r="B195" i="68" s="1"/>
  <c r="C195" i="68" s="1"/>
  <c r="AX100" i="44"/>
  <c r="B196" i="68" s="1"/>
  <c r="C196" i="68" s="1"/>
  <c r="AY100" i="44"/>
  <c r="B197" i="68" s="1"/>
  <c r="C197" i="68" s="1"/>
  <c r="AZ100" i="44"/>
  <c r="B198" i="68" s="1"/>
  <c r="AR101" i="44"/>
  <c r="B272" i="68" s="1"/>
  <c r="AS101" i="44"/>
  <c r="B273" i="68" s="1"/>
  <c r="AT101" i="44"/>
  <c r="B274" i="68" s="1"/>
  <c r="AU101" i="44"/>
  <c r="B275" i="68" s="1"/>
  <c r="AV101" i="44"/>
  <c r="B276" i="68" s="1"/>
  <c r="AW101" i="44"/>
  <c r="B277" i="68" s="1"/>
  <c r="AX101" i="44"/>
  <c r="B278" i="68" s="1"/>
  <c r="AY101" i="44"/>
  <c r="B279" i="68" s="1"/>
  <c r="AZ101" i="44"/>
  <c r="B280" i="68" s="1"/>
  <c r="AR102" i="44"/>
  <c r="B8" i="69" s="1"/>
  <c r="C8" i="69" s="1"/>
  <c r="AS102" i="44"/>
  <c r="B9" i="69" s="1"/>
  <c r="C9" i="69" s="1"/>
  <c r="AT102" i="44"/>
  <c r="B10" i="69" s="1"/>
  <c r="C10" i="69" s="1"/>
  <c r="AU102" i="44"/>
  <c r="B11" i="69" s="1"/>
  <c r="C11" i="69" s="1"/>
  <c r="AV102" i="44"/>
  <c r="B12" i="69" s="1"/>
  <c r="C12" i="69" s="1"/>
  <c r="AW102" i="44"/>
  <c r="B13" i="69" s="1"/>
  <c r="C13" i="69" s="1"/>
  <c r="AX102" i="44"/>
  <c r="B14" i="69" s="1"/>
  <c r="C14" i="69" s="1"/>
  <c r="AY102" i="44"/>
  <c r="B15" i="69" s="1"/>
  <c r="C15" i="69" s="1"/>
  <c r="AZ102" i="44"/>
  <c r="B16" i="69" s="1"/>
  <c r="C16" i="69" s="1"/>
  <c r="AR103" i="44"/>
  <c r="B27" i="69" s="1"/>
  <c r="B28" i="69"/>
  <c r="C28" i="69" s="1"/>
  <c r="AT103" i="44"/>
  <c r="B29" i="69" s="1"/>
  <c r="C29" i="69" s="1"/>
  <c r="AU103" i="44"/>
  <c r="B30" i="69" s="1"/>
  <c r="C30" i="69" s="1"/>
  <c r="AV103" i="44"/>
  <c r="B31" i="69" s="1"/>
  <c r="C31" i="69" s="1"/>
  <c r="AW103" i="44"/>
  <c r="B32" i="69" s="1"/>
  <c r="C32" i="69" s="1"/>
  <c r="AX103" i="44"/>
  <c r="B33" i="69" s="1"/>
  <c r="C33" i="69" s="1"/>
  <c r="AY103" i="44"/>
  <c r="B34" i="69" s="1"/>
  <c r="C34" i="69" s="1"/>
  <c r="AZ103" i="44"/>
  <c r="B35" i="69" s="1"/>
  <c r="C35" i="69" s="1"/>
  <c r="AR104" i="44"/>
  <c r="B46" i="69" s="1"/>
  <c r="AS104" i="44"/>
  <c r="B47" i="69" s="1"/>
  <c r="AT104" i="44"/>
  <c r="B48" i="69" s="1"/>
  <c r="AU104" i="44"/>
  <c r="B49" i="69" s="1"/>
  <c r="AV104" i="44"/>
  <c r="B50" i="69" s="1"/>
  <c r="AW104" i="44"/>
  <c r="B51" i="69" s="1"/>
  <c r="AX104" i="44"/>
  <c r="B52" i="69" s="1"/>
  <c r="AY104" i="44"/>
  <c r="B53" i="69" s="1"/>
  <c r="AZ104" i="44"/>
  <c r="B54" i="69" s="1"/>
  <c r="AR105" i="44"/>
  <c r="B67" i="69" s="1"/>
  <c r="AS105" i="44"/>
  <c r="B68" i="69" s="1"/>
  <c r="AT105" i="44"/>
  <c r="B69" i="69" s="1"/>
  <c r="AU105" i="44"/>
  <c r="B70" i="69" s="1"/>
  <c r="AV105" i="44"/>
  <c r="B71" i="69" s="1"/>
  <c r="AW105" i="44"/>
  <c r="B72" i="69" s="1"/>
  <c r="AX105" i="44"/>
  <c r="B73" i="69" s="1"/>
  <c r="AY105" i="44"/>
  <c r="B74" i="69" s="1"/>
  <c r="AZ105" i="44"/>
  <c r="B75" i="69" s="1"/>
  <c r="AR106" i="44"/>
  <c r="B88" i="69" s="1"/>
  <c r="AS106" i="44"/>
  <c r="B89" i="69" s="1"/>
  <c r="AT106" i="44"/>
  <c r="B90" i="69" s="1"/>
  <c r="AU106" i="44"/>
  <c r="B91" i="69" s="1"/>
  <c r="AV106" i="44"/>
  <c r="B92" i="69" s="1"/>
  <c r="AW106" i="44"/>
  <c r="B93" i="69" s="1"/>
  <c r="AX106" i="44"/>
  <c r="B94" i="69" s="1"/>
  <c r="AY106" i="44"/>
  <c r="B95" i="69" s="1"/>
  <c r="AZ106" i="44"/>
  <c r="B96" i="69" s="1"/>
  <c r="AR107" i="44"/>
  <c r="B107" i="69" s="1"/>
  <c r="C107" i="69" s="1"/>
  <c r="AS107" i="44"/>
  <c r="B108" i="69" s="1"/>
  <c r="C108" i="69" s="1"/>
  <c r="AT107" i="44"/>
  <c r="B109" i="69" s="1"/>
  <c r="C109" i="69" s="1"/>
  <c r="AU107" i="44"/>
  <c r="B110" i="69" s="1"/>
  <c r="C110" i="69" s="1"/>
  <c r="AV107" i="44"/>
  <c r="B111" i="69" s="1"/>
  <c r="C111" i="69" s="1"/>
  <c r="AW107" i="44"/>
  <c r="B112" i="69" s="1"/>
  <c r="C112" i="69" s="1"/>
  <c r="AX107" i="44"/>
  <c r="B113" i="69" s="1"/>
  <c r="C113" i="69" s="1"/>
  <c r="AY107" i="44"/>
  <c r="B114" i="69" s="1"/>
  <c r="C114" i="69" s="1"/>
  <c r="AZ107" i="44"/>
  <c r="B115" i="69" s="1"/>
  <c r="AR108" i="44"/>
  <c r="B129" i="69" s="1"/>
  <c r="C129" i="69" s="1"/>
  <c r="AS108" i="44"/>
  <c r="B130" i="69" s="1"/>
  <c r="C130" i="69" s="1"/>
  <c r="AT108" i="44"/>
  <c r="B131" i="69" s="1"/>
  <c r="C131" i="69" s="1"/>
  <c r="AU108" i="44"/>
  <c r="B132" i="69" s="1"/>
  <c r="C132" i="69" s="1"/>
  <c r="AV108" i="44"/>
  <c r="B133" i="69" s="1"/>
  <c r="C133" i="69" s="1"/>
  <c r="AW108" i="44"/>
  <c r="B134" i="69" s="1"/>
  <c r="C134" i="69" s="1"/>
  <c r="AX108" i="44"/>
  <c r="B135" i="69" s="1"/>
  <c r="C135" i="69" s="1"/>
  <c r="AY108" i="44"/>
  <c r="B136" i="69" s="1"/>
  <c r="C136" i="69" s="1"/>
  <c r="AZ108" i="44"/>
  <c r="B137" i="69" s="1"/>
  <c r="C137" i="69" s="1"/>
  <c r="AR109" i="44"/>
  <c r="B148" i="69" s="1"/>
  <c r="C148" i="69" s="1"/>
  <c r="AS109" i="44"/>
  <c r="B149" i="69" s="1"/>
  <c r="C149" i="69" s="1"/>
  <c r="AT109" i="44"/>
  <c r="B150" i="69" s="1"/>
  <c r="C150" i="69" s="1"/>
  <c r="AU109" i="44"/>
  <c r="B151" i="69" s="1"/>
  <c r="C151" i="69" s="1"/>
  <c r="AV109" i="44"/>
  <c r="B152" i="69" s="1"/>
  <c r="C152" i="69" s="1"/>
  <c r="AW109" i="44"/>
  <c r="B153" i="69" s="1"/>
  <c r="C153" i="69" s="1"/>
  <c r="AX109" i="44"/>
  <c r="B154" i="69" s="1"/>
  <c r="C154" i="69" s="1"/>
  <c r="AY109" i="44"/>
  <c r="B155" i="69" s="1"/>
  <c r="C155" i="69" s="1"/>
  <c r="AZ109" i="44"/>
  <c r="B156" i="69" s="1"/>
  <c r="AR110" i="44"/>
  <c r="B169" i="69" s="1"/>
  <c r="C169" i="69" s="1"/>
  <c r="AS110" i="44"/>
  <c r="B170" i="69" s="1"/>
  <c r="C170" i="69" s="1"/>
  <c r="AT110" i="44"/>
  <c r="B171" i="69" s="1"/>
  <c r="C171" i="69" s="1"/>
  <c r="AU110" i="44"/>
  <c r="B172" i="69" s="1"/>
  <c r="C172" i="69" s="1"/>
  <c r="AV110" i="44"/>
  <c r="B173" i="69" s="1"/>
  <c r="C173" i="69" s="1"/>
  <c r="AW110" i="44"/>
  <c r="B174" i="69" s="1"/>
  <c r="C174" i="69" s="1"/>
  <c r="AX110" i="44"/>
  <c r="B175" i="69" s="1"/>
  <c r="C175" i="69" s="1"/>
  <c r="AY110" i="44"/>
  <c r="B176" i="69" s="1"/>
  <c r="C176" i="69" s="1"/>
  <c r="AZ110" i="44"/>
  <c r="B177" i="69" s="1"/>
  <c r="AR111" i="44"/>
  <c r="B190" i="69" s="1"/>
  <c r="C190" i="69" s="1"/>
  <c r="AS111" i="44"/>
  <c r="B191" i="69" s="1"/>
  <c r="C191" i="69" s="1"/>
  <c r="AT111" i="44"/>
  <c r="B192" i="69" s="1"/>
  <c r="C192" i="69" s="1"/>
  <c r="AU111" i="44"/>
  <c r="B193" i="69" s="1"/>
  <c r="C193" i="69" s="1"/>
  <c r="AV111" i="44"/>
  <c r="B194" i="69" s="1"/>
  <c r="C194" i="69" s="1"/>
  <c r="AW111" i="44"/>
  <c r="B195" i="69" s="1"/>
  <c r="C195" i="69" s="1"/>
  <c r="AX111" i="44"/>
  <c r="B196" i="69" s="1"/>
  <c r="C196" i="69" s="1"/>
  <c r="AY111" i="44"/>
  <c r="B197" i="69" s="1"/>
  <c r="C197" i="69" s="1"/>
  <c r="AZ111" i="44"/>
  <c r="B198" i="69" s="1"/>
  <c r="AR112" i="44"/>
  <c r="B212" i="69" s="1"/>
  <c r="C212" i="69" s="1"/>
  <c r="AS112" i="44"/>
  <c r="B213" i="69" s="1"/>
  <c r="C213" i="69" s="1"/>
  <c r="AT112" i="44"/>
  <c r="B214" i="69" s="1"/>
  <c r="C214" i="69" s="1"/>
  <c r="AU112" i="44"/>
  <c r="B215" i="69" s="1"/>
  <c r="C215" i="69" s="1"/>
  <c r="AV112" i="44"/>
  <c r="B216" i="69" s="1"/>
  <c r="C216" i="69" s="1"/>
  <c r="AW112" i="44"/>
  <c r="B217" i="69" s="1"/>
  <c r="C217" i="69" s="1"/>
  <c r="AX112" i="44"/>
  <c r="B218" i="69" s="1"/>
  <c r="C218" i="69" s="1"/>
  <c r="AY112" i="44"/>
  <c r="B219" i="69" s="1"/>
  <c r="C219" i="69" s="1"/>
  <c r="AZ112" i="44"/>
  <c r="B220" i="69" s="1"/>
  <c r="AR113" i="44"/>
  <c r="B232" i="69" s="1"/>
  <c r="AS113" i="44"/>
  <c r="B233" i="69" s="1"/>
  <c r="AT113" i="44"/>
  <c r="B234" i="69" s="1"/>
  <c r="AU113" i="44"/>
  <c r="B235" i="69" s="1"/>
  <c r="AV113" i="44"/>
  <c r="B236" i="69" s="1"/>
  <c r="AW113" i="44"/>
  <c r="B237" i="69" s="1"/>
  <c r="AX113" i="44"/>
  <c r="B238" i="69" s="1"/>
  <c r="AY113" i="44"/>
  <c r="B239" i="69" s="1"/>
  <c r="AZ113" i="44"/>
  <c r="B240" i="69" s="1"/>
  <c r="AR114" i="44"/>
  <c r="B254" i="69" s="1"/>
  <c r="AS114" i="44"/>
  <c r="B255" i="69" s="1"/>
  <c r="AT114" i="44"/>
  <c r="B256" i="69" s="1"/>
  <c r="AU114" i="44"/>
  <c r="B257" i="69" s="1"/>
  <c r="AV114" i="44"/>
  <c r="B258" i="69" s="1"/>
  <c r="AW114" i="44"/>
  <c r="B259" i="69" s="1"/>
  <c r="AX114" i="44"/>
  <c r="B260" i="69" s="1"/>
  <c r="AY114" i="44"/>
  <c r="B261" i="69" s="1"/>
  <c r="AZ114" i="44"/>
  <c r="B262" i="69" s="1"/>
  <c r="C260" i="69" l="1"/>
  <c r="AN260" i="69" s="1"/>
  <c r="AM260" i="69"/>
  <c r="C220" i="69"/>
  <c r="AM220" i="69"/>
  <c r="C262" i="69"/>
  <c r="AN262" i="69" s="1"/>
  <c r="AM262" i="69"/>
  <c r="AM254" i="69"/>
  <c r="C254" i="69"/>
  <c r="B253" i="69"/>
  <c r="C96" i="69"/>
  <c r="AM96" i="69"/>
  <c r="C88" i="69"/>
  <c r="AM88" i="69"/>
  <c r="B87" i="69"/>
  <c r="C68" i="69"/>
  <c r="AM68" i="69"/>
  <c r="C48" i="69"/>
  <c r="AM48" i="69"/>
  <c r="C277" i="68"/>
  <c r="C177" i="68"/>
  <c r="C157" i="68"/>
  <c r="C149" i="68"/>
  <c r="B148" i="68"/>
  <c r="B127" i="68"/>
  <c r="C129" i="68"/>
  <c r="C110" i="68"/>
  <c r="C91" i="68"/>
  <c r="C71" i="68"/>
  <c r="C233" i="69"/>
  <c r="AM233" i="69"/>
  <c r="C261" i="69"/>
  <c r="AN261" i="69" s="1"/>
  <c r="AM261" i="69"/>
  <c r="C240" i="69"/>
  <c r="AM240" i="69"/>
  <c r="B231" i="69"/>
  <c r="AM231" i="69" s="1"/>
  <c r="AM232" i="69"/>
  <c r="C232" i="69"/>
  <c r="C95" i="69"/>
  <c r="AM95" i="69"/>
  <c r="C75" i="69"/>
  <c r="AM75" i="69"/>
  <c r="C67" i="69"/>
  <c r="AM67" i="69"/>
  <c r="B66" i="69"/>
  <c r="C47" i="69"/>
  <c r="AM47" i="69"/>
  <c r="C276" i="68"/>
  <c r="C176" i="68"/>
  <c r="C156" i="68"/>
  <c r="C136" i="68"/>
  <c r="C128" i="68"/>
  <c r="B107" i="68"/>
  <c r="C109" i="68"/>
  <c r="C90" i="68"/>
  <c r="C70" i="68"/>
  <c r="C175" i="68"/>
  <c r="C155" i="68"/>
  <c r="C135" i="68"/>
  <c r="C116" i="68"/>
  <c r="C108" i="68"/>
  <c r="C89" i="68"/>
  <c r="C69" i="68"/>
  <c r="C239" i="69"/>
  <c r="AM239" i="69"/>
  <c r="C46" i="69"/>
  <c r="AM46" i="69"/>
  <c r="B45" i="69"/>
  <c r="AM259" i="69"/>
  <c r="C259" i="69"/>
  <c r="AN259" i="69" s="1"/>
  <c r="AM238" i="69"/>
  <c r="C238" i="69"/>
  <c r="C198" i="69"/>
  <c r="AM198" i="69"/>
  <c r="C93" i="69"/>
  <c r="AM93" i="69"/>
  <c r="C73" i="69"/>
  <c r="AM73" i="69"/>
  <c r="C53" i="69"/>
  <c r="AM53" i="69"/>
  <c r="AM35" i="69"/>
  <c r="C27" i="69"/>
  <c r="B26" i="69"/>
  <c r="C274" i="68"/>
  <c r="C174" i="68"/>
  <c r="C154" i="68"/>
  <c r="C134" i="68"/>
  <c r="C115" i="68"/>
  <c r="C96" i="68"/>
  <c r="C88" i="68"/>
  <c r="B87" i="68"/>
  <c r="C68" i="68"/>
  <c r="C258" i="69"/>
  <c r="AN258" i="69" s="1"/>
  <c r="AM258" i="69"/>
  <c r="C237" i="69"/>
  <c r="AM237" i="69"/>
  <c r="C177" i="69"/>
  <c r="AM177" i="69"/>
  <c r="C92" i="69"/>
  <c r="AM92" i="69"/>
  <c r="C72" i="69"/>
  <c r="AM72" i="69"/>
  <c r="C52" i="69"/>
  <c r="AM52" i="69"/>
  <c r="AM16" i="69"/>
  <c r="C273" i="68"/>
  <c r="C173" i="68"/>
  <c r="C153" i="68"/>
  <c r="C133" i="68"/>
  <c r="C114" i="68"/>
  <c r="C95" i="68"/>
  <c r="C75" i="68"/>
  <c r="C257" i="69"/>
  <c r="AN257" i="69" s="1"/>
  <c r="AM257" i="69"/>
  <c r="AM236" i="69"/>
  <c r="C236" i="69"/>
  <c r="C156" i="69"/>
  <c r="AM156" i="69"/>
  <c r="C91" i="69"/>
  <c r="AM91" i="69"/>
  <c r="C71" i="69"/>
  <c r="AM71" i="69"/>
  <c r="C51" i="69"/>
  <c r="AM51" i="69"/>
  <c r="C280" i="68"/>
  <c r="B271" i="68"/>
  <c r="C272" i="68"/>
  <c r="C172" i="68"/>
  <c r="C152" i="68"/>
  <c r="C132" i="68"/>
  <c r="C113" i="68"/>
  <c r="C94" i="68"/>
  <c r="C74" i="68"/>
  <c r="C54" i="68"/>
  <c r="C74" i="69"/>
  <c r="AM74" i="69"/>
  <c r="C275" i="68"/>
  <c r="C256" i="69"/>
  <c r="AN256" i="69" s="1"/>
  <c r="AM256" i="69"/>
  <c r="C235" i="69"/>
  <c r="AM235" i="69"/>
  <c r="AN137" i="69"/>
  <c r="C90" i="69"/>
  <c r="AM90" i="69"/>
  <c r="C70" i="69"/>
  <c r="AM70" i="69"/>
  <c r="C50" i="69"/>
  <c r="AM50" i="69"/>
  <c r="C279" i="68"/>
  <c r="C198" i="68"/>
  <c r="B189" i="68"/>
  <c r="C190" i="68"/>
  <c r="C171" i="68"/>
  <c r="C151" i="68"/>
  <c r="C131" i="68"/>
  <c r="C112" i="68"/>
  <c r="C93" i="68"/>
  <c r="C73" i="68"/>
  <c r="C94" i="69"/>
  <c r="AM94" i="69"/>
  <c r="C54" i="69"/>
  <c r="AM54" i="69"/>
  <c r="AM255" i="69"/>
  <c r="C255" i="69"/>
  <c r="AN255" i="69" s="1"/>
  <c r="AM234" i="69"/>
  <c r="C234" i="69"/>
  <c r="C115" i="69"/>
  <c r="AM115" i="69"/>
  <c r="C89" i="69"/>
  <c r="AM89" i="69"/>
  <c r="C69" i="69"/>
  <c r="AM69" i="69"/>
  <c r="C49" i="69"/>
  <c r="AM49" i="69"/>
  <c r="C278" i="68"/>
  <c r="C178" i="68"/>
  <c r="C170" i="68"/>
  <c r="B169" i="68"/>
  <c r="C150" i="68"/>
  <c r="C130" i="68"/>
  <c r="C111" i="68"/>
  <c r="C92" i="68"/>
  <c r="C72" i="68"/>
  <c r="BA112" i="44"/>
  <c r="BA108" i="44"/>
  <c r="BA111" i="44"/>
  <c r="BA107" i="44"/>
  <c r="BA103" i="44"/>
  <c r="BA99" i="44"/>
  <c r="BA95" i="44"/>
  <c r="BA91" i="44"/>
  <c r="BA113" i="44"/>
  <c r="BA109" i="44"/>
  <c r="BA114" i="44"/>
  <c r="BA110" i="44"/>
  <c r="BA106" i="44"/>
  <c r="BA102" i="44"/>
  <c r="BA98" i="44"/>
  <c r="BA94" i="44"/>
  <c r="BA105" i="44"/>
  <c r="BA101" i="44"/>
  <c r="BA97" i="44"/>
  <c r="BA93" i="44"/>
  <c r="BA104" i="44"/>
  <c r="BA100" i="44"/>
  <c r="BA96" i="44"/>
  <c r="BA92" i="44"/>
  <c r="BA65" i="44"/>
  <c r="BA61" i="44"/>
  <c r="BA57" i="44"/>
  <c r="BA63" i="44"/>
  <c r="BA59" i="44"/>
  <c r="BA55" i="44"/>
  <c r="BA53" i="44"/>
  <c r="BA62" i="44"/>
  <c r="BA58" i="44"/>
  <c r="BA54" i="44"/>
  <c r="BA64" i="44"/>
  <c r="BA60" i="44"/>
  <c r="BA56" i="44"/>
  <c r="BA49" i="44"/>
  <c r="BA45" i="44"/>
  <c r="BA50" i="44"/>
  <c r="BA46" i="44"/>
  <c r="BA51" i="44"/>
  <c r="BA47" i="44"/>
  <c r="BA52" i="44"/>
  <c r="BA48" i="44"/>
  <c r="BA44" i="44"/>
  <c r="AR16" i="44"/>
  <c r="AS16" i="44"/>
  <c r="AT16" i="44"/>
  <c r="AU16" i="44"/>
  <c r="AV16" i="44"/>
  <c r="AW16" i="44"/>
  <c r="AX16" i="44"/>
  <c r="AY16" i="44"/>
  <c r="AZ16" i="44"/>
  <c r="AR17" i="44"/>
  <c r="AS17" i="44"/>
  <c r="AT17" i="44"/>
  <c r="AU17" i="44"/>
  <c r="AV17" i="44"/>
  <c r="AW17" i="44"/>
  <c r="AX17" i="44"/>
  <c r="AY17" i="44"/>
  <c r="AZ17" i="44"/>
  <c r="AR18" i="44"/>
  <c r="AS18" i="44"/>
  <c r="AT18" i="44"/>
  <c r="AU18" i="44"/>
  <c r="AV18" i="44"/>
  <c r="AW18" i="44"/>
  <c r="AX18" i="44"/>
  <c r="AY18" i="44"/>
  <c r="AZ18" i="44"/>
  <c r="AR19" i="44"/>
  <c r="AS19" i="44"/>
  <c r="AT19" i="44"/>
  <c r="AU19" i="44"/>
  <c r="AV19" i="44"/>
  <c r="AW19" i="44"/>
  <c r="AX19" i="44"/>
  <c r="AY19" i="44"/>
  <c r="AZ19" i="44"/>
  <c r="AR20" i="44"/>
  <c r="AS20" i="44"/>
  <c r="AT20" i="44"/>
  <c r="AU20" i="44"/>
  <c r="AV20" i="44"/>
  <c r="AW20" i="44"/>
  <c r="AX20" i="44"/>
  <c r="AY20" i="44"/>
  <c r="AZ20" i="44"/>
  <c r="AR21" i="44"/>
  <c r="AS21" i="44"/>
  <c r="AT21" i="44"/>
  <c r="AU21" i="44"/>
  <c r="AV21" i="44"/>
  <c r="AW21" i="44"/>
  <c r="AX21" i="44"/>
  <c r="AY21" i="44"/>
  <c r="AZ21" i="44"/>
  <c r="AR22" i="44"/>
  <c r="AS22" i="44"/>
  <c r="AT22" i="44"/>
  <c r="AU22" i="44"/>
  <c r="AV22" i="44"/>
  <c r="AW22" i="44"/>
  <c r="AX22" i="44"/>
  <c r="AY22" i="44"/>
  <c r="AZ22" i="44"/>
  <c r="AR38" i="44"/>
  <c r="AS38" i="44"/>
  <c r="AT38" i="44"/>
  <c r="AU38" i="44"/>
  <c r="AV38" i="44"/>
  <c r="AW38" i="44"/>
  <c r="AX38" i="44"/>
  <c r="AY38" i="44"/>
  <c r="AZ38" i="44"/>
  <c r="AR39" i="44"/>
  <c r="AS39" i="44"/>
  <c r="AT39" i="44"/>
  <c r="AU39" i="44"/>
  <c r="AV39" i="44"/>
  <c r="AW39" i="44"/>
  <c r="AX39" i="44"/>
  <c r="AY39" i="44"/>
  <c r="AZ39" i="44"/>
  <c r="AR40" i="44"/>
  <c r="AS40" i="44"/>
  <c r="AT40" i="44"/>
  <c r="AU40" i="44"/>
  <c r="AV40" i="44"/>
  <c r="AW40" i="44"/>
  <c r="AX40" i="44"/>
  <c r="AY40" i="44"/>
  <c r="AZ40" i="44"/>
  <c r="AR41" i="44"/>
  <c r="AS41" i="44"/>
  <c r="AT41" i="44"/>
  <c r="AU41" i="44"/>
  <c r="AV41" i="44"/>
  <c r="AW41" i="44"/>
  <c r="AX41" i="44"/>
  <c r="AY41" i="44"/>
  <c r="AZ41" i="44"/>
  <c r="AR42" i="44"/>
  <c r="AS42" i="44"/>
  <c r="AT42" i="44"/>
  <c r="AU42" i="44"/>
  <c r="AV42" i="44"/>
  <c r="AW42" i="44"/>
  <c r="AX42" i="44"/>
  <c r="AY42" i="44"/>
  <c r="AZ42" i="44"/>
  <c r="AR43" i="44"/>
  <c r="AS43" i="44"/>
  <c r="AT43" i="44"/>
  <c r="AU43" i="44"/>
  <c r="AV43" i="44"/>
  <c r="AW43" i="44"/>
  <c r="AX43" i="44"/>
  <c r="AY43" i="44"/>
  <c r="AZ43" i="44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AR30" i="44"/>
  <c r="AS30" i="44"/>
  <c r="AT30" i="44"/>
  <c r="AU30" i="44"/>
  <c r="AV30" i="44"/>
  <c r="AW30" i="44"/>
  <c r="AX30" i="44"/>
  <c r="AY30" i="44"/>
  <c r="AZ30" i="44"/>
  <c r="AR31" i="44"/>
  <c r="AS31" i="44"/>
  <c r="AT31" i="44"/>
  <c r="AU31" i="44"/>
  <c r="AV31" i="44"/>
  <c r="AW31" i="44"/>
  <c r="AX31" i="44"/>
  <c r="AY31" i="44"/>
  <c r="AZ31" i="44"/>
  <c r="AR32" i="44"/>
  <c r="AS32" i="44"/>
  <c r="AT32" i="44"/>
  <c r="AU32" i="44"/>
  <c r="AV32" i="44"/>
  <c r="AW32" i="44"/>
  <c r="AX32" i="44"/>
  <c r="AY32" i="44"/>
  <c r="AZ32" i="44"/>
  <c r="AR33" i="44"/>
  <c r="AS33" i="44"/>
  <c r="AT33" i="44"/>
  <c r="AU33" i="44"/>
  <c r="AV33" i="44"/>
  <c r="AW33" i="44"/>
  <c r="AX33" i="44"/>
  <c r="AY33" i="44"/>
  <c r="AZ33" i="44"/>
  <c r="AR34" i="44"/>
  <c r="AS34" i="44"/>
  <c r="AT34" i="44"/>
  <c r="AU34" i="44"/>
  <c r="AV34" i="44"/>
  <c r="AW34" i="44"/>
  <c r="AX34" i="44"/>
  <c r="AY34" i="44"/>
  <c r="AZ34" i="44"/>
  <c r="AR35" i="44"/>
  <c r="AS35" i="44"/>
  <c r="AT35" i="44"/>
  <c r="AU35" i="44"/>
  <c r="AV35" i="44"/>
  <c r="AW35" i="44"/>
  <c r="AX35" i="44"/>
  <c r="AY35" i="44"/>
  <c r="AZ35" i="44"/>
  <c r="AR36" i="44"/>
  <c r="AS36" i="44"/>
  <c r="AT36" i="44"/>
  <c r="AU36" i="44"/>
  <c r="AV36" i="44"/>
  <c r="AW36" i="44"/>
  <c r="AX36" i="44"/>
  <c r="AY36" i="44"/>
  <c r="AZ36" i="44"/>
  <c r="AR37" i="44"/>
  <c r="AS37" i="44"/>
  <c r="AT37" i="44"/>
  <c r="AU37" i="44"/>
  <c r="AV37" i="44"/>
  <c r="AW37" i="44"/>
  <c r="AX37" i="44"/>
  <c r="AY37" i="44"/>
  <c r="AZ37" i="44"/>
  <c r="D235" i="68" l="1"/>
  <c r="G235" i="68" s="1"/>
  <c r="D294" i="68"/>
  <c r="D297" i="68"/>
  <c r="D293" i="68"/>
  <c r="D314" i="68"/>
  <c r="D255" i="68"/>
  <c r="G255" i="68" s="1"/>
  <c r="D218" i="68"/>
  <c r="G218" i="68" s="1"/>
  <c r="D214" i="68"/>
  <c r="G214" i="68" s="1"/>
  <c r="D238" i="68"/>
  <c r="G238" i="68" s="1"/>
  <c r="D234" i="68"/>
  <c r="G234" i="68" s="1"/>
  <c r="D298" i="68"/>
  <c r="D319" i="68"/>
  <c r="D315" i="68"/>
  <c r="D296" i="68"/>
  <c r="D317" i="68"/>
  <c r="D258" i="68"/>
  <c r="G258" i="68" s="1"/>
  <c r="D254" i="68"/>
  <c r="G254" i="68" s="1"/>
  <c r="D217" i="68"/>
  <c r="G217" i="68" s="1"/>
  <c r="D213" i="68"/>
  <c r="G213" i="68" s="1"/>
  <c r="D237" i="68"/>
  <c r="G237" i="68" s="1"/>
  <c r="D233" i="68"/>
  <c r="G233" i="68" s="1"/>
  <c r="D256" i="68"/>
  <c r="G256" i="68" s="1"/>
  <c r="D252" i="68"/>
  <c r="G252" i="68" s="1"/>
  <c r="D215" i="68"/>
  <c r="G215" i="68" s="1"/>
  <c r="D318" i="68"/>
  <c r="D299" i="68"/>
  <c r="D320" i="68"/>
  <c r="D295" i="68"/>
  <c r="D257" i="68"/>
  <c r="G257" i="68" s="1"/>
  <c r="D253" i="68"/>
  <c r="G253" i="68" s="1"/>
  <c r="D212" i="68"/>
  <c r="G212" i="68" s="1"/>
  <c r="D236" i="68"/>
  <c r="G236" i="68" s="1"/>
  <c r="I236" i="68" s="1"/>
  <c r="AP255" i="69"/>
  <c r="AP261" i="69"/>
  <c r="C189" i="68"/>
  <c r="AP260" i="69"/>
  <c r="AP258" i="69"/>
  <c r="AM214" i="69"/>
  <c r="AM196" i="69"/>
  <c r="AM195" i="69"/>
  <c r="AM219" i="69"/>
  <c r="AM194" i="69"/>
  <c r="AM218" i="69"/>
  <c r="AM193" i="69"/>
  <c r="AM217" i="69"/>
  <c r="AM197" i="69"/>
  <c r="AM213" i="69"/>
  <c r="AM192" i="69"/>
  <c r="AN215" i="69"/>
  <c r="AM216" i="69"/>
  <c r="AN70" i="69"/>
  <c r="AN235" i="69"/>
  <c r="AP235" i="69" s="1"/>
  <c r="AN51" i="69"/>
  <c r="AM45" i="69"/>
  <c r="AN96" i="69"/>
  <c r="AN89" i="69"/>
  <c r="AN236" i="69"/>
  <c r="AP236" i="69" s="1"/>
  <c r="AN53" i="69"/>
  <c r="C45" i="69"/>
  <c r="AN46" i="69"/>
  <c r="C107" i="68"/>
  <c r="AM66" i="69"/>
  <c r="C231" i="69"/>
  <c r="AN232" i="69"/>
  <c r="AP232" i="69" s="1"/>
  <c r="AN48" i="69"/>
  <c r="BA18" i="44"/>
  <c r="AN90" i="69"/>
  <c r="AP256" i="69"/>
  <c r="AN71" i="69"/>
  <c r="AN52" i="69"/>
  <c r="AN238" i="69"/>
  <c r="AP238" i="69" s="1"/>
  <c r="AN67" i="69"/>
  <c r="C66" i="69"/>
  <c r="AN233" i="69"/>
  <c r="AP233" i="69" s="1"/>
  <c r="BA17" i="44"/>
  <c r="C271" i="68"/>
  <c r="AN73" i="69"/>
  <c r="AN68" i="69"/>
  <c r="AN54" i="69"/>
  <c r="AN91" i="69"/>
  <c r="AN72" i="69"/>
  <c r="AN177" i="69"/>
  <c r="AQ177" i="69" s="1"/>
  <c r="AN237" i="69"/>
  <c r="AP237" i="69" s="1"/>
  <c r="AN75" i="69"/>
  <c r="AM253" i="69"/>
  <c r="AN220" i="69"/>
  <c r="AP220" i="69" s="1"/>
  <c r="AN49" i="69"/>
  <c r="AP257" i="69"/>
  <c r="AN93" i="69"/>
  <c r="AP259" i="69"/>
  <c r="C127" i="68"/>
  <c r="AN240" i="69"/>
  <c r="AP240" i="69" s="1"/>
  <c r="AM87" i="69"/>
  <c r="AN254" i="69"/>
  <c r="AP254" i="69" s="1"/>
  <c r="C253" i="69"/>
  <c r="AN253" i="69" s="1"/>
  <c r="AN115" i="69"/>
  <c r="AN234" i="69"/>
  <c r="AP234" i="69" s="1"/>
  <c r="AN94" i="69"/>
  <c r="AN50" i="69"/>
  <c r="AN92" i="69"/>
  <c r="AN198" i="69"/>
  <c r="AP198" i="69" s="1"/>
  <c r="AN239" i="69"/>
  <c r="AP239" i="69" s="1"/>
  <c r="AN95" i="69"/>
  <c r="C87" i="69"/>
  <c r="AN88" i="69"/>
  <c r="C169" i="68"/>
  <c r="AN69" i="69"/>
  <c r="AN74" i="69"/>
  <c r="AN156" i="69"/>
  <c r="C87" i="68"/>
  <c r="C148" i="68"/>
  <c r="AN47" i="69"/>
  <c r="AP262" i="69"/>
  <c r="D292" i="68"/>
  <c r="D251" i="68"/>
  <c r="D211" i="68"/>
  <c r="D231" i="68"/>
  <c r="B415" i="68"/>
  <c r="C46" i="68"/>
  <c r="B45" i="68"/>
  <c r="B422" i="68"/>
  <c r="B418" i="68"/>
  <c r="C48" i="68"/>
  <c r="B419" i="68"/>
  <c r="BA35" i="44"/>
  <c r="BA31" i="44"/>
  <c r="BA41" i="44"/>
  <c r="BA22" i="44"/>
  <c r="B421" i="68"/>
  <c r="B417" i="68"/>
  <c r="C51" i="68"/>
  <c r="C49" i="68"/>
  <c r="BA20" i="44"/>
  <c r="C53" i="68"/>
  <c r="B420" i="68"/>
  <c r="B416" i="68"/>
  <c r="C50" i="68"/>
  <c r="C47" i="68"/>
  <c r="C52" i="68"/>
  <c r="AN197" i="69"/>
  <c r="AN217" i="69"/>
  <c r="AN194" i="69"/>
  <c r="AN190" i="69"/>
  <c r="AN218" i="69"/>
  <c r="AN214" i="69"/>
  <c r="AM215" i="69"/>
  <c r="AM190" i="69"/>
  <c r="AN213" i="69"/>
  <c r="AN196" i="69"/>
  <c r="AN192" i="69"/>
  <c r="AN216" i="69"/>
  <c r="AN212" i="69"/>
  <c r="C211" i="69"/>
  <c r="AN195" i="69"/>
  <c r="AN191" i="69"/>
  <c r="AN219" i="69"/>
  <c r="BA37" i="44"/>
  <c r="BA33" i="44"/>
  <c r="BA34" i="44"/>
  <c r="BA39" i="44"/>
  <c r="AM191" i="69"/>
  <c r="BA40" i="44"/>
  <c r="BA43" i="44"/>
  <c r="C189" i="69"/>
  <c r="BA42" i="44"/>
  <c r="BA19" i="44"/>
  <c r="BA38" i="44"/>
  <c r="BA21" i="44"/>
  <c r="BA16" i="44"/>
  <c r="BA30" i="44"/>
  <c r="BA36" i="44"/>
  <c r="BA32" i="44"/>
  <c r="H254" i="68" l="1"/>
  <c r="J254" i="68"/>
  <c r="H252" i="68"/>
  <c r="J252" i="68"/>
  <c r="I252" i="68"/>
  <c r="I217" i="68"/>
  <c r="H217" i="68"/>
  <c r="H256" i="68"/>
  <c r="I256" i="68"/>
  <c r="I234" i="68"/>
  <c r="J234" i="68"/>
  <c r="H234" i="68"/>
  <c r="I238" i="68"/>
  <c r="J238" i="68"/>
  <c r="H258" i="68"/>
  <c r="J258" i="68"/>
  <c r="I258" i="68"/>
  <c r="H213" i="68"/>
  <c r="J213" i="68"/>
  <c r="I213" i="68"/>
  <c r="D232" i="68"/>
  <c r="G232" i="68" s="1"/>
  <c r="I218" i="68"/>
  <c r="H218" i="68"/>
  <c r="J218" i="68"/>
  <c r="H212" i="68"/>
  <c r="J212" i="68"/>
  <c r="I212" i="68"/>
  <c r="J253" i="68"/>
  <c r="H253" i="68"/>
  <c r="I253" i="68"/>
  <c r="I215" i="68"/>
  <c r="J215" i="68"/>
  <c r="H215" i="68"/>
  <c r="J233" i="68"/>
  <c r="I233" i="68"/>
  <c r="H233" i="68"/>
  <c r="H235" i="68"/>
  <c r="I235" i="68"/>
  <c r="J235" i="68"/>
  <c r="J214" i="68"/>
  <c r="I214" i="68"/>
  <c r="H214" i="68"/>
  <c r="H257" i="68"/>
  <c r="J257" i="68"/>
  <c r="I257" i="68"/>
  <c r="J237" i="68"/>
  <c r="H237" i="68"/>
  <c r="I237" i="68"/>
  <c r="I255" i="68"/>
  <c r="H255" i="68"/>
  <c r="J255" i="68"/>
  <c r="D216" i="68"/>
  <c r="G216" i="68" s="1"/>
  <c r="D316" i="68"/>
  <c r="J236" i="68"/>
  <c r="D291" i="68"/>
  <c r="H236" i="68"/>
  <c r="J256" i="68"/>
  <c r="J217" i="68"/>
  <c r="I254" i="68"/>
  <c r="H238" i="68"/>
  <c r="AP217" i="69"/>
  <c r="AP194" i="69"/>
  <c r="AP195" i="69"/>
  <c r="AP216" i="69"/>
  <c r="AP213" i="69"/>
  <c r="AP214" i="69"/>
  <c r="AP253" i="69"/>
  <c r="AP192" i="69"/>
  <c r="AP219" i="69"/>
  <c r="AP215" i="69"/>
  <c r="AP196" i="69"/>
  <c r="AP197" i="69"/>
  <c r="AP218" i="69"/>
  <c r="AN87" i="69"/>
  <c r="AN231" i="69"/>
  <c r="AP231" i="69" s="1"/>
  <c r="B7" i="68"/>
  <c r="AN66" i="69"/>
  <c r="AN45" i="69"/>
  <c r="G251" i="68"/>
  <c r="D250" i="68"/>
  <c r="G250" i="68" s="1"/>
  <c r="G231" i="68"/>
  <c r="G211" i="68"/>
  <c r="D313" i="68"/>
  <c r="C417" i="68"/>
  <c r="B458" i="68"/>
  <c r="C458" i="68" s="1"/>
  <c r="AQ15" i="69"/>
  <c r="B414" i="68"/>
  <c r="B456" i="68"/>
  <c r="C456" i="68" s="1"/>
  <c r="C415" i="68"/>
  <c r="AQ9" i="69"/>
  <c r="AQ13" i="69"/>
  <c r="C419" i="68"/>
  <c r="B460" i="68"/>
  <c r="C460" i="68" s="1"/>
  <c r="C418" i="68"/>
  <c r="B459" i="68"/>
  <c r="C459" i="68" s="1"/>
  <c r="AQ12" i="69"/>
  <c r="C45" i="68"/>
  <c r="C416" i="68"/>
  <c r="B457" i="68"/>
  <c r="C420" i="68"/>
  <c r="B461" i="68"/>
  <c r="C461" i="68" s="1"/>
  <c r="AQ14" i="69"/>
  <c r="AQ11" i="69"/>
  <c r="C422" i="68"/>
  <c r="B463" i="68"/>
  <c r="C463" i="68" s="1"/>
  <c r="B7" i="69"/>
  <c r="AQ35" i="69"/>
  <c r="AQ10" i="69"/>
  <c r="B462" i="68"/>
  <c r="C462" i="68" s="1"/>
  <c r="C421" i="68"/>
  <c r="AQ16" i="69"/>
  <c r="AP191" i="69"/>
  <c r="AN189" i="69"/>
  <c r="B211" i="69"/>
  <c r="AM212" i="69"/>
  <c r="AP212" i="69" s="1"/>
  <c r="AN211" i="69"/>
  <c r="AP190" i="69"/>
  <c r="AN193" i="69"/>
  <c r="AP193" i="69" s="1"/>
  <c r="B189" i="69"/>
  <c r="D230" i="68" l="1"/>
  <c r="G230" i="68" s="1"/>
  <c r="J230" i="68" s="1"/>
  <c r="D210" i="68"/>
  <c r="G210" i="68" s="1"/>
  <c r="I210" i="68" s="1"/>
  <c r="D312" i="68"/>
  <c r="I232" i="68"/>
  <c r="H232" i="68"/>
  <c r="J232" i="68"/>
  <c r="J216" i="68"/>
  <c r="I216" i="68"/>
  <c r="H216" i="68"/>
  <c r="C7" i="68"/>
  <c r="H250" i="68"/>
  <c r="J250" i="68"/>
  <c r="I250" i="68"/>
  <c r="J211" i="68"/>
  <c r="H211" i="68"/>
  <c r="I211" i="68"/>
  <c r="J251" i="68"/>
  <c r="I251" i="68"/>
  <c r="H251" i="68"/>
  <c r="H231" i="68"/>
  <c r="J231" i="68"/>
  <c r="I231" i="68"/>
  <c r="AM211" i="69"/>
  <c r="AP211" i="69" s="1"/>
  <c r="AM189" i="69"/>
  <c r="AP189" i="69" s="1"/>
  <c r="AM9" i="69"/>
  <c r="AM15" i="69"/>
  <c r="AM12" i="69"/>
  <c r="AM10" i="69"/>
  <c r="AM13" i="69"/>
  <c r="AM11" i="69"/>
  <c r="B455" i="68"/>
  <c r="C457" i="68"/>
  <c r="AM8" i="69"/>
  <c r="C7" i="69"/>
  <c r="AM14" i="69"/>
  <c r="C414" i="68"/>
  <c r="H230" i="68" l="1"/>
  <c r="I230" i="68"/>
  <c r="H210" i="68"/>
  <c r="J210" i="68"/>
  <c r="AM7" i="69"/>
  <c r="AQ7" i="69"/>
  <c r="C455" i="68"/>
  <c r="AQ8" i="69"/>
  <c r="AR13" i="44"/>
  <c r="AS13" i="44"/>
  <c r="AT13" i="44"/>
  <c r="AU13" i="44"/>
  <c r="AV13" i="44"/>
  <c r="AW13" i="44"/>
  <c r="AX13" i="44"/>
  <c r="AY13" i="44"/>
  <c r="AZ13" i="44"/>
  <c r="AR14" i="44"/>
  <c r="AS14" i="44"/>
  <c r="AT14" i="44"/>
  <c r="AU14" i="44"/>
  <c r="AV14" i="44"/>
  <c r="AW14" i="44"/>
  <c r="AX14" i="44"/>
  <c r="AY14" i="44"/>
  <c r="AZ14" i="44"/>
  <c r="AR15" i="44"/>
  <c r="AS15" i="44"/>
  <c r="AT15" i="44"/>
  <c r="AU15" i="44"/>
  <c r="AV15" i="44"/>
  <c r="AW15" i="44"/>
  <c r="AX15" i="44"/>
  <c r="AY15" i="44"/>
  <c r="AZ15" i="44"/>
  <c r="AR23" i="44"/>
  <c r="AS23" i="44"/>
  <c r="AT23" i="44"/>
  <c r="AU23" i="44"/>
  <c r="AV23" i="44"/>
  <c r="AW23" i="44"/>
  <c r="AX23" i="44"/>
  <c r="AY23" i="44"/>
  <c r="AZ23" i="44"/>
  <c r="AR24" i="44"/>
  <c r="AS24" i="44"/>
  <c r="AT24" i="44"/>
  <c r="AU24" i="44"/>
  <c r="AV24" i="44"/>
  <c r="AW24" i="44"/>
  <c r="AX24" i="44"/>
  <c r="AY24" i="44"/>
  <c r="AZ24" i="44"/>
  <c r="AR26" i="44"/>
  <c r="AS26" i="44"/>
  <c r="AT26" i="44"/>
  <c r="AU26" i="44"/>
  <c r="AV26" i="44"/>
  <c r="AW26" i="44"/>
  <c r="AX26" i="44"/>
  <c r="AY26" i="44"/>
  <c r="AZ26" i="44"/>
  <c r="AR27" i="44"/>
  <c r="AS27" i="44"/>
  <c r="AT27" i="44"/>
  <c r="AU27" i="44"/>
  <c r="AV27" i="44"/>
  <c r="AW27" i="44"/>
  <c r="AX27" i="44"/>
  <c r="AY27" i="44"/>
  <c r="AZ27" i="44"/>
  <c r="AN150" i="69" l="1"/>
  <c r="AM150" i="69"/>
  <c r="AN153" i="69"/>
  <c r="AM153" i="69"/>
  <c r="AN149" i="69"/>
  <c r="AM149" i="69"/>
  <c r="AM152" i="69"/>
  <c r="AN152" i="69"/>
  <c r="AM148" i="69"/>
  <c r="B147" i="69"/>
  <c r="AN154" i="69"/>
  <c r="AM154" i="69"/>
  <c r="AM155" i="69"/>
  <c r="AN155" i="69"/>
  <c r="AM151" i="69"/>
  <c r="AN151" i="69"/>
  <c r="BA23" i="44"/>
  <c r="BA26" i="44"/>
  <c r="BA24" i="44"/>
  <c r="BA14" i="44"/>
  <c r="BA27" i="44"/>
  <c r="BA13" i="44"/>
  <c r="BA15" i="44"/>
  <c r="AN130" i="69" l="1"/>
  <c r="AN133" i="69"/>
  <c r="AQ29" i="69"/>
  <c r="AQ30" i="69"/>
  <c r="B128" i="69"/>
  <c r="AQ28" i="69"/>
  <c r="AQ34" i="69"/>
  <c r="AN148" i="69"/>
  <c r="C147" i="69"/>
  <c r="AN135" i="69"/>
  <c r="AN136" i="69"/>
  <c r="AN134" i="69"/>
  <c r="AQ33" i="69"/>
  <c r="AQ32" i="69"/>
  <c r="AQ31" i="69"/>
  <c r="AM147" i="69"/>
  <c r="AN131" i="69"/>
  <c r="AN132" i="69"/>
  <c r="AN147" i="69" l="1"/>
  <c r="AM34" i="69"/>
  <c r="AM30" i="69"/>
  <c r="AM27" i="69"/>
  <c r="C26" i="69"/>
  <c r="AM31" i="69"/>
  <c r="AM29" i="69"/>
  <c r="C128" i="69"/>
  <c r="AN129" i="69"/>
  <c r="AM32" i="69"/>
  <c r="AM33" i="69"/>
  <c r="AM28" i="69"/>
  <c r="AQ27" i="69" l="1"/>
  <c r="AM26" i="69"/>
  <c r="AQ26" i="69"/>
  <c r="AN128" i="69"/>
  <c r="B17" i="41"/>
  <c r="C17" i="41" s="1"/>
  <c r="B18" i="41"/>
  <c r="C18" i="41" s="1"/>
  <c r="B19" i="41"/>
  <c r="C19" i="41" s="1"/>
  <c r="B20" i="41"/>
  <c r="C20" i="41" s="1"/>
  <c r="B21" i="41"/>
  <c r="C21" i="41" s="1"/>
  <c r="B22" i="41"/>
  <c r="C22" i="41" s="1"/>
  <c r="B23" i="41"/>
  <c r="C23" i="41" s="1"/>
  <c r="B24" i="41"/>
  <c r="C24" i="41" s="1"/>
  <c r="B16" i="41"/>
  <c r="C16" i="41" s="1"/>
  <c r="AR5" i="44"/>
  <c r="AS5" i="44"/>
  <c r="AT5" i="44"/>
  <c r="AU5" i="44"/>
  <c r="AV5" i="44"/>
  <c r="AW5" i="44"/>
  <c r="AX5" i="44"/>
  <c r="AY5" i="44"/>
  <c r="AZ5" i="44"/>
  <c r="AR6" i="44"/>
  <c r="AS6" i="44"/>
  <c r="AT6" i="44"/>
  <c r="AU6" i="44"/>
  <c r="AV6" i="44"/>
  <c r="AW6" i="44"/>
  <c r="AX6" i="44"/>
  <c r="AY6" i="44"/>
  <c r="AZ6" i="44"/>
  <c r="AR7" i="44"/>
  <c r="AS7" i="44"/>
  <c r="AT7" i="44"/>
  <c r="AU7" i="44"/>
  <c r="AV7" i="44"/>
  <c r="AW7" i="44"/>
  <c r="AX7" i="44"/>
  <c r="AY7" i="44"/>
  <c r="AZ7" i="44"/>
  <c r="AR8" i="44"/>
  <c r="AS8" i="44"/>
  <c r="B356" i="68" s="1"/>
  <c r="AT8" i="44"/>
  <c r="B357" i="68" s="1"/>
  <c r="AU8" i="44"/>
  <c r="B358" i="68" s="1"/>
  <c r="AV8" i="44"/>
  <c r="B359" i="68" s="1"/>
  <c r="AW8" i="44"/>
  <c r="B360" i="68" s="1"/>
  <c r="AX8" i="44"/>
  <c r="B361" i="68" s="1"/>
  <c r="AY8" i="44"/>
  <c r="B362" i="68" s="1"/>
  <c r="AZ8" i="44"/>
  <c r="AR9" i="44"/>
  <c r="AS9" i="44"/>
  <c r="AT9" i="44"/>
  <c r="AU9" i="44"/>
  <c r="AV9" i="44"/>
  <c r="AW9" i="44"/>
  <c r="AX9" i="44"/>
  <c r="AY9" i="44"/>
  <c r="AZ9" i="44"/>
  <c r="AR10" i="44"/>
  <c r="AS10" i="44"/>
  <c r="AT10" i="44"/>
  <c r="AU10" i="44"/>
  <c r="AV10" i="44"/>
  <c r="AW10" i="44"/>
  <c r="AX10" i="44"/>
  <c r="AY10" i="44"/>
  <c r="AZ10" i="44"/>
  <c r="AR11" i="44"/>
  <c r="AS11" i="44"/>
  <c r="B396" i="68" s="1"/>
  <c r="AT11" i="44"/>
  <c r="B397" i="68" s="1"/>
  <c r="AU11" i="44"/>
  <c r="B398" i="68" s="1"/>
  <c r="AV11" i="44"/>
  <c r="B399" i="68" s="1"/>
  <c r="AW11" i="44"/>
  <c r="B400" i="68" s="1"/>
  <c r="AX11" i="44"/>
  <c r="B401" i="68" s="1"/>
  <c r="AY11" i="44"/>
  <c r="B402" i="68" s="1"/>
  <c r="AZ11" i="44"/>
  <c r="AR12" i="44"/>
  <c r="AS12" i="44"/>
  <c r="AT12" i="44"/>
  <c r="AU12" i="44"/>
  <c r="AV12" i="44"/>
  <c r="AW12" i="44"/>
  <c r="AX12" i="44"/>
  <c r="AY12" i="44"/>
  <c r="AZ12" i="44"/>
  <c r="AZ4" i="44"/>
  <c r="AY4" i="44"/>
  <c r="AX4" i="44"/>
  <c r="AW4" i="44"/>
  <c r="AV4" i="44"/>
  <c r="AU4" i="44"/>
  <c r="AS4" i="44"/>
  <c r="AR4" i="44"/>
  <c r="A232" i="69" l="1"/>
  <c r="AL232" i="69" s="1"/>
  <c r="A254" i="69"/>
  <c r="AL254" i="69" s="1"/>
  <c r="A237" i="69"/>
  <c r="AL237" i="69" s="1"/>
  <c r="A259" i="69"/>
  <c r="AL259" i="69" s="1"/>
  <c r="A233" i="69"/>
  <c r="AL233" i="69" s="1"/>
  <c r="A255" i="69"/>
  <c r="AL255" i="69" s="1"/>
  <c r="A198" i="69"/>
  <c r="AL198" i="69" s="1"/>
  <c r="A115" i="69"/>
  <c r="AL115" i="69" s="1"/>
  <c r="A423" i="68"/>
  <c r="A341" i="68"/>
  <c r="A198" i="68"/>
  <c r="A116" i="68"/>
  <c r="A240" i="69"/>
  <c r="AL240" i="69" s="1"/>
  <c r="A156" i="69"/>
  <c r="AL156" i="69" s="1"/>
  <c r="A75" i="69"/>
  <c r="AL75" i="69" s="1"/>
  <c r="A16" i="69"/>
  <c r="AL16" i="69" s="1"/>
  <c r="A464" i="68"/>
  <c r="A381" i="68"/>
  <c r="A300" i="68"/>
  <c r="A157" i="68"/>
  <c r="A75" i="68"/>
  <c r="A54" i="68"/>
  <c r="A177" i="69"/>
  <c r="AL177" i="69" s="1"/>
  <c r="A96" i="69"/>
  <c r="AL96" i="69" s="1"/>
  <c r="A35" i="69"/>
  <c r="AL35" i="69" s="1"/>
  <c r="A403" i="68"/>
  <c r="A321" i="68"/>
  <c r="A178" i="68"/>
  <c r="A96" i="68"/>
  <c r="A262" i="69"/>
  <c r="AL262" i="69" s="1"/>
  <c r="A220" i="69"/>
  <c r="AL220" i="69" s="1"/>
  <c r="A137" i="69"/>
  <c r="AL137" i="69" s="1"/>
  <c r="A54" i="69"/>
  <c r="AL53" i="69" s="1"/>
  <c r="A444" i="68"/>
  <c r="A363" i="68"/>
  <c r="A280" i="68"/>
  <c r="A136" i="68"/>
  <c r="A236" i="69"/>
  <c r="AL236" i="69" s="1"/>
  <c r="A258" i="69"/>
  <c r="AL258" i="69" s="1"/>
  <c r="A257" i="69"/>
  <c r="AL257" i="69" s="1"/>
  <c r="A235" i="69"/>
  <c r="AL235" i="69" s="1"/>
  <c r="A261" i="69"/>
  <c r="AL261" i="69" s="1"/>
  <c r="A53" i="69"/>
  <c r="A239" i="69"/>
  <c r="AL239" i="69" s="1"/>
  <c r="A260" i="69"/>
  <c r="AL260" i="69" s="1"/>
  <c r="A238" i="69"/>
  <c r="AL238" i="69" s="1"/>
  <c r="A256" i="69"/>
  <c r="AL256" i="69" s="1"/>
  <c r="A234" i="69"/>
  <c r="AL234" i="69" s="1"/>
  <c r="B395" i="68"/>
  <c r="B394" i="68" s="1"/>
  <c r="B355" i="68"/>
  <c r="B354" i="68" s="1"/>
  <c r="A502" i="68"/>
  <c r="A379" i="68"/>
  <c r="A14" i="68"/>
  <c r="A218" i="69"/>
  <c r="AL218" i="69" s="1"/>
  <c r="A175" i="69"/>
  <c r="AL175" i="69" s="1"/>
  <c r="A545" i="68"/>
  <c r="A524" i="68"/>
  <c r="A339" i="68"/>
  <c r="A298" i="68"/>
  <c r="A278" i="68"/>
  <c r="A237" i="68"/>
  <c r="A176" i="68"/>
  <c r="A134" i="68"/>
  <c r="A94" i="68"/>
  <c r="A35" i="68"/>
  <c r="A154" i="69"/>
  <c r="AL154" i="69" s="1"/>
  <c r="A482" i="68"/>
  <c r="A442" i="68"/>
  <c r="A401" i="68"/>
  <c r="A196" i="69"/>
  <c r="AL196" i="69" s="1"/>
  <c r="A462" i="68"/>
  <c r="A421" i="68"/>
  <c r="A361" i="68"/>
  <c r="A319" i="68"/>
  <c r="A257" i="68"/>
  <c r="A217" i="68"/>
  <c r="A196" i="68"/>
  <c r="A155" i="68"/>
  <c r="A114" i="68"/>
  <c r="A73" i="68"/>
  <c r="A52" i="68"/>
  <c r="A113" i="69"/>
  <c r="AL113" i="69" s="1"/>
  <c r="A135" i="69"/>
  <c r="AL135" i="69" s="1"/>
  <c r="A73" i="69"/>
  <c r="AL73" i="69" s="1"/>
  <c r="A94" i="69"/>
  <c r="AL94" i="69" s="1"/>
  <c r="A52" i="69"/>
  <c r="AL52" i="69" s="1"/>
  <c r="A33" i="69"/>
  <c r="AL33" i="69" s="1"/>
  <c r="A14" i="69"/>
  <c r="AL14" i="69" s="1"/>
  <c r="A496" i="68"/>
  <c r="A436" i="68"/>
  <c r="A373" i="68"/>
  <c r="A190" i="69"/>
  <c r="AL190" i="69" s="1"/>
  <c r="A415" i="68"/>
  <c r="A333" i="68"/>
  <c r="A292" i="68"/>
  <c r="A251" i="68"/>
  <c r="A211" i="68"/>
  <c r="A170" i="68"/>
  <c r="A128" i="68"/>
  <c r="A88" i="68"/>
  <c r="A46" i="68"/>
  <c r="A476" i="68"/>
  <c r="A395" i="68"/>
  <c r="A8" i="68"/>
  <c r="A212" i="69"/>
  <c r="AL212" i="69" s="1"/>
  <c r="A169" i="69"/>
  <c r="AL169" i="69" s="1"/>
  <c r="A539" i="68"/>
  <c r="A518" i="68"/>
  <c r="A456" i="68"/>
  <c r="A355" i="68"/>
  <c r="A313" i="68"/>
  <c r="A272" i="68"/>
  <c r="A231" i="68"/>
  <c r="A190" i="68"/>
  <c r="A149" i="68"/>
  <c r="A108" i="68"/>
  <c r="A67" i="68"/>
  <c r="A29" i="68"/>
  <c r="A148" i="69"/>
  <c r="AL148" i="69" s="1"/>
  <c r="A107" i="69"/>
  <c r="AL107" i="69" s="1"/>
  <c r="A46" i="69"/>
  <c r="AL46" i="69" s="1"/>
  <c r="A27" i="69"/>
  <c r="AL27" i="69" s="1"/>
  <c r="A8" i="69"/>
  <c r="AL8" i="69" s="1"/>
  <c r="A129" i="69"/>
  <c r="AL129" i="69" s="1"/>
  <c r="A67" i="69"/>
  <c r="AL67" i="69" s="1"/>
  <c r="A88" i="69"/>
  <c r="AL88" i="69" s="1"/>
  <c r="A544" i="68"/>
  <c r="A523" i="68"/>
  <c r="A481" i="68"/>
  <c r="A420" i="68"/>
  <c r="A400" i="68"/>
  <c r="A277" i="68"/>
  <c r="A236" i="68"/>
  <c r="A51" i="68"/>
  <c r="A461" i="68"/>
  <c r="A360" i="68"/>
  <c r="A318" i="68"/>
  <c r="A195" i="68"/>
  <c r="A154" i="68"/>
  <c r="A113" i="68"/>
  <c r="A72" i="68"/>
  <c r="A13" i="68"/>
  <c r="A217" i="69"/>
  <c r="AL217" i="69" s="1"/>
  <c r="A501" i="68"/>
  <c r="A378" i="68"/>
  <c r="A256" i="68"/>
  <c r="A216" i="68"/>
  <c r="A34" i="68"/>
  <c r="A441" i="68"/>
  <c r="A338" i="68"/>
  <c r="A297" i="68"/>
  <c r="A175" i="68"/>
  <c r="A133" i="68"/>
  <c r="A93" i="68"/>
  <c r="A195" i="69"/>
  <c r="AL195" i="69" s="1"/>
  <c r="A174" i="69"/>
  <c r="AL174" i="69" s="1"/>
  <c r="A153" i="69"/>
  <c r="AL153" i="69" s="1"/>
  <c r="A134" i="69"/>
  <c r="AL134" i="69" s="1"/>
  <c r="A32" i="69"/>
  <c r="AL32" i="69" s="1"/>
  <c r="A13" i="69"/>
  <c r="AL13" i="69" s="1"/>
  <c r="A112" i="69"/>
  <c r="AL112" i="69" s="1"/>
  <c r="A72" i="69"/>
  <c r="AL72" i="69" s="1"/>
  <c r="A51" i="69"/>
  <c r="AL51" i="69" s="1"/>
  <c r="A93" i="69"/>
  <c r="AL93" i="69" s="1"/>
  <c r="A37" i="68"/>
  <c r="A16" i="68"/>
  <c r="A547" i="68"/>
  <c r="A526" i="68"/>
  <c r="A500" i="68"/>
  <c r="A440" i="68"/>
  <c r="A377" i="68"/>
  <c r="A194" i="69"/>
  <c r="AL194" i="69" s="1"/>
  <c r="A419" i="68"/>
  <c r="A337" i="68"/>
  <c r="A296" i="68"/>
  <c r="A255" i="68"/>
  <c r="A215" i="68"/>
  <c r="A174" i="68"/>
  <c r="A132" i="68"/>
  <c r="A92" i="68"/>
  <c r="A50" i="68"/>
  <c r="A152" i="69"/>
  <c r="AL152" i="69" s="1"/>
  <c r="A480" i="68"/>
  <c r="A399" i="68"/>
  <c r="A12" i="68"/>
  <c r="A216" i="69"/>
  <c r="AL216" i="69" s="1"/>
  <c r="A173" i="69"/>
  <c r="AL173" i="69" s="1"/>
  <c r="A543" i="68"/>
  <c r="A522" i="68"/>
  <c r="A460" i="68"/>
  <c r="A359" i="68"/>
  <c r="A317" i="68"/>
  <c r="A276" i="68"/>
  <c r="A235" i="68"/>
  <c r="A194" i="68"/>
  <c r="A153" i="68"/>
  <c r="A112" i="68"/>
  <c r="A71" i="68"/>
  <c r="A33" i="68"/>
  <c r="A111" i="69"/>
  <c r="AL111" i="69" s="1"/>
  <c r="A50" i="69"/>
  <c r="AL50" i="69" s="1"/>
  <c r="A31" i="69"/>
  <c r="AL31" i="69" s="1"/>
  <c r="A12" i="69"/>
  <c r="AL12" i="69" s="1"/>
  <c r="A133" i="69"/>
  <c r="AL133" i="69" s="1"/>
  <c r="A71" i="69"/>
  <c r="AL71" i="69" s="1"/>
  <c r="A92" i="69"/>
  <c r="AL92" i="69" s="1"/>
  <c r="A483" i="68"/>
  <c r="A402" i="68"/>
  <c r="A258" i="68"/>
  <c r="A218" i="68"/>
  <c r="A36" i="68"/>
  <c r="A463" i="68"/>
  <c r="A443" i="68"/>
  <c r="A362" i="68"/>
  <c r="A320" i="68"/>
  <c r="A197" i="68"/>
  <c r="A156" i="68"/>
  <c r="A115" i="68"/>
  <c r="A74" i="68"/>
  <c r="A197" i="69"/>
  <c r="AL197" i="69" s="1"/>
  <c r="A176" i="69"/>
  <c r="AL176" i="69" s="1"/>
  <c r="A546" i="68"/>
  <c r="A525" i="68"/>
  <c r="A503" i="68"/>
  <c r="A422" i="68"/>
  <c r="A380" i="68"/>
  <c r="A279" i="68"/>
  <c r="A238" i="68"/>
  <c r="A53" i="68"/>
  <c r="A340" i="68"/>
  <c r="A299" i="68"/>
  <c r="A177" i="68"/>
  <c r="A135" i="68"/>
  <c r="A95" i="68"/>
  <c r="A15" i="68"/>
  <c r="A219" i="69"/>
  <c r="AL219" i="69" s="1"/>
  <c r="A155" i="69"/>
  <c r="AL155" i="69" s="1"/>
  <c r="A136" i="69"/>
  <c r="AL136" i="69" s="1"/>
  <c r="A114" i="69"/>
  <c r="AL114" i="69" s="1"/>
  <c r="A74" i="69"/>
  <c r="AL74" i="69" s="1"/>
  <c r="A34" i="69"/>
  <c r="AL34" i="69" s="1"/>
  <c r="A15" i="69"/>
  <c r="AL15" i="69" s="1"/>
  <c r="A95" i="69"/>
  <c r="AL95" i="69" s="1"/>
  <c r="A479" i="68"/>
  <c r="A398" i="68"/>
  <c r="A254" i="68"/>
  <c r="A214" i="68"/>
  <c r="A32" i="68"/>
  <c r="A459" i="68"/>
  <c r="A439" i="68"/>
  <c r="A358" i="68"/>
  <c r="A316" i="68"/>
  <c r="A193" i="68"/>
  <c r="A152" i="68"/>
  <c r="A111" i="68"/>
  <c r="A70" i="68"/>
  <c r="A193" i="69"/>
  <c r="AL193" i="69" s="1"/>
  <c r="A172" i="69"/>
  <c r="AL172" i="69" s="1"/>
  <c r="A542" i="68"/>
  <c r="A521" i="68"/>
  <c r="A499" i="68"/>
  <c r="A418" i="68"/>
  <c r="A376" i="68"/>
  <c r="A275" i="68"/>
  <c r="A234" i="68"/>
  <c r="A49" i="68"/>
  <c r="A336" i="68"/>
  <c r="A295" i="68"/>
  <c r="A173" i="68"/>
  <c r="A131" i="68"/>
  <c r="A91" i="68"/>
  <c r="A11" i="68"/>
  <c r="A215" i="69"/>
  <c r="AL215" i="69" s="1"/>
  <c r="A151" i="69"/>
  <c r="AL151" i="69" s="1"/>
  <c r="A132" i="69"/>
  <c r="AL132" i="69" s="1"/>
  <c r="A49" i="69"/>
  <c r="AL49" i="69" s="1"/>
  <c r="A110" i="69"/>
  <c r="AL110" i="69" s="1"/>
  <c r="A70" i="69"/>
  <c r="AL70" i="69" s="1"/>
  <c r="A30" i="69"/>
  <c r="AL30" i="69" s="1"/>
  <c r="A11" i="69"/>
  <c r="AL11" i="69" s="1"/>
  <c r="A91" i="69"/>
  <c r="AL91" i="69" s="1"/>
  <c r="A498" i="68"/>
  <c r="A375" i="68"/>
  <c r="A10" i="68"/>
  <c r="A214" i="69"/>
  <c r="AL214" i="69" s="1"/>
  <c r="A171" i="69"/>
  <c r="AL171" i="69" s="1"/>
  <c r="A541" i="68"/>
  <c r="A520" i="68"/>
  <c r="A335" i="68"/>
  <c r="A294" i="68"/>
  <c r="A274" i="68"/>
  <c r="A233" i="68"/>
  <c r="A172" i="68"/>
  <c r="A130" i="68"/>
  <c r="A90" i="68"/>
  <c r="A31" i="68"/>
  <c r="A150" i="69"/>
  <c r="AL150" i="69" s="1"/>
  <c r="A478" i="68"/>
  <c r="A438" i="68"/>
  <c r="A397" i="68"/>
  <c r="A192" i="69"/>
  <c r="AL192" i="69" s="1"/>
  <c r="A458" i="68"/>
  <c r="A417" i="68"/>
  <c r="A357" i="68"/>
  <c r="A315" i="68"/>
  <c r="A253" i="68"/>
  <c r="A213" i="68"/>
  <c r="A192" i="68"/>
  <c r="A151" i="68"/>
  <c r="A110" i="68"/>
  <c r="A69" i="68"/>
  <c r="A48" i="68"/>
  <c r="A109" i="69"/>
  <c r="AL109" i="69" s="1"/>
  <c r="A131" i="69"/>
  <c r="AL131" i="69" s="1"/>
  <c r="A69" i="69"/>
  <c r="AL69" i="69" s="1"/>
  <c r="A90" i="69"/>
  <c r="AL90" i="69" s="1"/>
  <c r="A48" i="69"/>
  <c r="AL48" i="69" s="1"/>
  <c r="A29" i="69"/>
  <c r="AL29" i="69" s="1"/>
  <c r="A10" i="69"/>
  <c r="AL10" i="69" s="1"/>
  <c r="A540" i="68"/>
  <c r="A519" i="68"/>
  <c r="A477" i="68"/>
  <c r="A416" i="68"/>
  <c r="A396" i="68"/>
  <c r="A273" i="68"/>
  <c r="A232" i="68"/>
  <c r="A47" i="68"/>
  <c r="A457" i="68"/>
  <c r="A356" i="68"/>
  <c r="A314" i="68"/>
  <c r="A191" i="68"/>
  <c r="A150" i="68"/>
  <c r="A109" i="68"/>
  <c r="A68" i="68"/>
  <c r="A9" i="68"/>
  <c r="A213" i="69"/>
  <c r="AL213" i="69" s="1"/>
  <c r="A497" i="68"/>
  <c r="A374" i="68"/>
  <c r="A252" i="68"/>
  <c r="A212" i="68"/>
  <c r="A30" i="68"/>
  <c r="A437" i="68"/>
  <c r="A334" i="68"/>
  <c r="A293" i="68"/>
  <c r="A171" i="68"/>
  <c r="A129" i="68"/>
  <c r="A89" i="68"/>
  <c r="A191" i="69"/>
  <c r="AL191" i="69" s="1"/>
  <c r="A170" i="69"/>
  <c r="AL170" i="69" s="1"/>
  <c r="A130" i="69"/>
  <c r="AL130" i="69" s="1"/>
  <c r="A28" i="69"/>
  <c r="AL28" i="69" s="1"/>
  <c r="A9" i="69"/>
  <c r="AL9" i="69" s="1"/>
  <c r="A149" i="69"/>
  <c r="AL149" i="69" s="1"/>
  <c r="A108" i="69"/>
  <c r="AL108" i="69" s="1"/>
  <c r="A68" i="69"/>
  <c r="AL68" i="69" s="1"/>
  <c r="A47" i="69"/>
  <c r="AL47" i="69" s="1"/>
  <c r="A89" i="69"/>
  <c r="AL89" i="69" s="1"/>
  <c r="B298" i="68"/>
  <c r="C399" i="68"/>
  <c r="B374" i="68"/>
  <c r="C358" i="68"/>
  <c r="B338" i="68"/>
  <c r="B315" i="68"/>
  <c r="B295" i="68"/>
  <c r="B299" i="68"/>
  <c r="AN175" i="69"/>
  <c r="AQ175" i="69" s="1"/>
  <c r="AM175" i="69"/>
  <c r="AN171" i="69"/>
  <c r="AQ171" i="69" s="1"/>
  <c r="AM171" i="69"/>
  <c r="C402" i="68"/>
  <c r="C398" i="68"/>
  <c r="B377" i="68"/>
  <c r="B373" i="68"/>
  <c r="C361" i="68"/>
  <c r="C357" i="68"/>
  <c r="B337" i="68"/>
  <c r="B333" i="68"/>
  <c r="B318" i="68"/>
  <c r="B314" i="68"/>
  <c r="B294" i="68"/>
  <c r="AN176" i="69"/>
  <c r="AQ176" i="69" s="1"/>
  <c r="AM176" i="69"/>
  <c r="B378" i="68"/>
  <c r="C362" i="68"/>
  <c r="B319" i="68"/>
  <c r="B292" i="68"/>
  <c r="B296" i="68"/>
  <c r="AN174" i="69"/>
  <c r="AQ174" i="69" s="1"/>
  <c r="AM174" i="69"/>
  <c r="AN170" i="69"/>
  <c r="AQ170" i="69" s="1"/>
  <c r="AM170" i="69"/>
  <c r="C401" i="68"/>
  <c r="C397" i="68"/>
  <c r="B380" i="68"/>
  <c r="B376" i="68"/>
  <c r="C360" i="68"/>
  <c r="C356" i="68"/>
  <c r="B340" i="68"/>
  <c r="B336" i="68"/>
  <c r="B317" i="68"/>
  <c r="B313" i="68"/>
  <c r="AN172" i="69"/>
  <c r="AQ172" i="69" s="1"/>
  <c r="AM172" i="69"/>
  <c r="B334" i="68"/>
  <c r="B293" i="68"/>
  <c r="B297" i="68"/>
  <c r="AN173" i="69"/>
  <c r="AQ173" i="69" s="1"/>
  <c r="AM173" i="69"/>
  <c r="AM169" i="69"/>
  <c r="B168" i="69"/>
  <c r="C400" i="68"/>
  <c r="C396" i="68"/>
  <c r="B379" i="68"/>
  <c r="B375" i="68"/>
  <c r="C359" i="68"/>
  <c r="B339" i="68"/>
  <c r="B335" i="68"/>
  <c r="B320" i="68"/>
  <c r="B316" i="68"/>
  <c r="BA4" i="44"/>
  <c r="C395" i="68" l="1"/>
  <c r="C394" i="68" s="1"/>
  <c r="C355" i="68"/>
  <c r="C354" i="68" s="1"/>
  <c r="AM168" i="69"/>
  <c r="C377" i="68"/>
  <c r="C338" i="68"/>
  <c r="C316" i="68"/>
  <c r="G316" i="68"/>
  <c r="C335" i="68"/>
  <c r="C339" i="68"/>
  <c r="G293" i="68"/>
  <c r="C293" i="68"/>
  <c r="C334" i="68"/>
  <c r="C313" i="68"/>
  <c r="B312" i="68"/>
  <c r="G312" i="68" s="1"/>
  <c r="G313" i="68"/>
  <c r="C317" i="68"/>
  <c r="G317" i="68"/>
  <c r="C376" i="68"/>
  <c r="B66" i="68"/>
  <c r="C319" i="68"/>
  <c r="G319" i="68"/>
  <c r="AN109" i="69"/>
  <c r="AM109" i="69"/>
  <c r="G318" i="68"/>
  <c r="C318" i="68"/>
  <c r="C337" i="68"/>
  <c r="C299" i="68"/>
  <c r="G299" i="68"/>
  <c r="AM110" i="69"/>
  <c r="AN110" i="69"/>
  <c r="C315" i="68"/>
  <c r="G315" i="68"/>
  <c r="AN113" i="69"/>
  <c r="AM113" i="69"/>
  <c r="AM111" i="69"/>
  <c r="AN111" i="69"/>
  <c r="C379" i="68"/>
  <c r="AN169" i="69"/>
  <c r="AQ169" i="69" s="1"/>
  <c r="C168" i="69"/>
  <c r="C297" i="68"/>
  <c r="G297" i="68"/>
  <c r="AN108" i="69"/>
  <c r="AM108" i="69"/>
  <c r="C296" i="68"/>
  <c r="G296" i="68"/>
  <c r="G292" i="68"/>
  <c r="B291" i="68"/>
  <c r="G291" i="68" s="1"/>
  <c r="C292" i="68"/>
  <c r="C333" i="68"/>
  <c r="B332" i="68"/>
  <c r="C295" i="68"/>
  <c r="G295" i="68"/>
  <c r="C298" i="68"/>
  <c r="G298" i="68"/>
  <c r="C375" i="68"/>
  <c r="C336" i="68"/>
  <c r="B28" i="68"/>
  <c r="C374" i="68"/>
  <c r="C320" i="68"/>
  <c r="G320" i="68"/>
  <c r="AN112" i="69"/>
  <c r="AM112" i="69"/>
  <c r="C340" i="68"/>
  <c r="C380" i="68"/>
  <c r="AM107" i="69"/>
  <c r="B106" i="69"/>
  <c r="C378" i="68"/>
  <c r="C294" i="68"/>
  <c r="G294" i="68"/>
  <c r="G314" i="68"/>
  <c r="C314" i="68"/>
  <c r="C373" i="68"/>
  <c r="B372" i="68"/>
  <c r="AM114" i="69"/>
  <c r="AN114" i="69"/>
  <c r="AN168" i="69" l="1"/>
  <c r="AQ168" i="69" s="1"/>
  <c r="C332" i="68"/>
  <c r="C28" i="68"/>
  <c r="AN107" i="69"/>
  <c r="C106" i="69"/>
  <c r="AM106" i="69"/>
  <c r="C291" i="68"/>
  <c r="C66" i="68"/>
  <c r="C312" i="68"/>
  <c r="C372" i="68"/>
  <c r="AN106" i="69" l="1"/>
  <c r="D9" i="68" l="1"/>
  <c r="D10" i="68"/>
  <c r="D11" i="68"/>
  <c r="D12" i="68"/>
  <c r="D13" i="68"/>
  <c r="D14" i="68"/>
  <c r="D15" i="68"/>
  <c r="D16" i="68"/>
  <c r="G16" i="68" s="1"/>
  <c r="D30" i="68"/>
  <c r="G30" i="68" s="1"/>
  <c r="D31" i="68"/>
  <c r="G31" i="68" s="1"/>
  <c r="D32" i="68"/>
  <c r="G32" i="68" s="1"/>
  <c r="D33" i="68"/>
  <c r="G33" i="68" s="1"/>
  <c r="D34" i="68"/>
  <c r="G34" i="68" s="1"/>
  <c r="D35" i="68"/>
  <c r="G35" i="68" s="1"/>
  <c r="D36" i="68"/>
  <c r="G36" i="68" s="1"/>
  <c r="D37" i="68"/>
  <c r="G37" i="68" s="1"/>
  <c r="D47" i="68"/>
  <c r="G47" i="68" s="1"/>
  <c r="D48" i="68"/>
  <c r="G48" i="68" s="1"/>
  <c r="D49" i="68"/>
  <c r="G49" i="68" s="1"/>
  <c r="D50" i="68"/>
  <c r="G50" i="68" s="1"/>
  <c r="D51" i="68"/>
  <c r="G51" i="68" s="1"/>
  <c r="D52" i="68"/>
  <c r="G52" i="68" s="1"/>
  <c r="D53" i="68"/>
  <c r="G53" i="68" s="1"/>
  <c r="D54" i="68"/>
  <c r="G54" i="68" s="1"/>
  <c r="D68" i="68"/>
  <c r="G68" i="68" s="1"/>
  <c r="D69" i="68"/>
  <c r="G69" i="68" s="1"/>
  <c r="D70" i="68"/>
  <c r="G70" i="68" s="1"/>
  <c r="D71" i="68"/>
  <c r="G71" i="68" s="1"/>
  <c r="D72" i="68"/>
  <c r="G72" i="68" s="1"/>
  <c r="D73" i="68"/>
  <c r="G73" i="68" s="1"/>
  <c r="D74" i="68"/>
  <c r="G74" i="68" s="1"/>
  <c r="D75" i="68"/>
  <c r="G75" i="68" s="1"/>
  <c r="D89" i="68"/>
  <c r="G89" i="68" s="1"/>
  <c r="D90" i="68"/>
  <c r="G90" i="68" s="1"/>
  <c r="D91" i="68"/>
  <c r="G91" i="68" s="1"/>
  <c r="D92" i="68"/>
  <c r="G92" i="68" s="1"/>
  <c r="D93" i="68"/>
  <c r="G93" i="68" s="1"/>
  <c r="D94" i="68"/>
  <c r="G94" i="68" s="1"/>
  <c r="D95" i="68"/>
  <c r="G95" i="68" s="1"/>
  <c r="D96" i="68"/>
  <c r="G96" i="68" s="1"/>
  <c r="D109" i="68"/>
  <c r="G109" i="68" s="1"/>
  <c r="D110" i="68"/>
  <c r="G110" i="68" s="1"/>
  <c r="D111" i="68"/>
  <c r="G111" i="68" s="1"/>
  <c r="D112" i="68"/>
  <c r="G112" i="68" s="1"/>
  <c r="D113" i="68"/>
  <c r="G113" i="68" s="1"/>
  <c r="D114" i="68"/>
  <c r="G114" i="68" s="1"/>
  <c r="D115" i="68"/>
  <c r="G115" i="68" s="1"/>
  <c r="D116" i="68"/>
  <c r="G116" i="68" s="1"/>
  <c r="D129" i="68"/>
  <c r="G129" i="68" s="1"/>
  <c r="D130" i="68"/>
  <c r="G130" i="68" s="1"/>
  <c r="D131" i="68"/>
  <c r="G131" i="68" s="1"/>
  <c r="D132" i="68"/>
  <c r="G132" i="68" s="1"/>
  <c r="D133" i="68"/>
  <c r="G133" i="68" s="1"/>
  <c r="D134" i="68"/>
  <c r="G134" i="68" s="1"/>
  <c r="D135" i="68"/>
  <c r="G135" i="68" s="1"/>
  <c r="D136" i="68"/>
  <c r="G136" i="68" s="1"/>
  <c r="D150" i="68"/>
  <c r="G150" i="68" s="1"/>
  <c r="D151" i="68"/>
  <c r="G151" i="68" s="1"/>
  <c r="D152" i="68"/>
  <c r="G152" i="68" s="1"/>
  <c r="D153" i="68"/>
  <c r="G153" i="68" s="1"/>
  <c r="D154" i="68"/>
  <c r="G154" i="68" s="1"/>
  <c r="D155" i="68"/>
  <c r="G155" i="68" s="1"/>
  <c r="D156" i="68"/>
  <c r="G156" i="68" s="1"/>
  <c r="D157" i="68"/>
  <c r="G157" i="68" s="1"/>
  <c r="D178" i="68"/>
  <c r="G178" i="68" s="1"/>
  <c r="D191" i="68"/>
  <c r="G191" i="68" s="1"/>
  <c r="D192" i="68"/>
  <c r="G192" i="68" s="1"/>
  <c r="D193" i="68"/>
  <c r="G193" i="68" s="1"/>
  <c r="D194" i="68"/>
  <c r="G194" i="68" s="1"/>
  <c r="D195" i="68"/>
  <c r="G195" i="68" s="1"/>
  <c r="D196" i="68"/>
  <c r="G196" i="68" s="1"/>
  <c r="D197" i="68"/>
  <c r="G197" i="68" s="1"/>
  <c r="D198" i="68"/>
  <c r="G198" i="68" s="1"/>
  <c r="D273" i="68"/>
  <c r="G273" i="68" s="1"/>
  <c r="D274" i="68"/>
  <c r="G274" i="68" s="1"/>
  <c r="D275" i="68"/>
  <c r="G275" i="68" s="1"/>
  <c r="D276" i="68"/>
  <c r="G276" i="68" s="1"/>
  <c r="D277" i="68"/>
  <c r="G277" i="68" s="1"/>
  <c r="D278" i="68"/>
  <c r="G278" i="68" s="1"/>
  <c r="D279" i="68"/>
  <c r="G279" i="68" s="1"/>
  <c r="D280" i="68"/>
  <c r="G280" i="68" s="1"/>
  <c r="D16" i="69"/>
  <c r="D28" i="69"/>
  <c r="D29" i="69"/>
  <c r="D30" i="69"/>
  <c r="D31" i="69"/>
  <c r="D32" i="69"/>
  <c r="D33" i="69"/>
  <c r="D34" i="69"/>
  <c r="D47" i="69"/>
  <c r="D48" i="69"/>
  <c r="D49" i="69"/>
  <c r="D50" i="69"/>
  <c r="D51" i="69"/>
  <c r="D52" i="69"/>
  <c r="D53" i="69"/>
  <c r="D54" i="69"/>
  <c r="D68" i="69"/>
  <c r="D69" i="69"/>
  <c r="D70" i="69"/>
  <c r="D71" i="69"/>
  <c r="D72" i="69"/>
  <c r="D73" i="69"/>
  <c r="D74" i="69"/>
  <c r="D75" i="69"/>
  <c r="D89" i="69"/>
  <c r="D90" i="69"/>
  <c r="D91" i="69"/>
  <c r="D92" i="69"/>
  <c r="D93" i="69"/>
  <c r="D94" i="69"/>
  <c r="D95" i="69"/>
  <c r="D96" i="69"/>
  <c r="D108" i="69"/>
  <c r="D109" i="69"/>
  <c r="D110" i="69"/>
  <c r="D111" i="69"/>
  <c r="D112" i="69"/>
  <c r="D113" i="69"/>
  <c r="D114" i="69"/>
  <c r="D115" i="69"/>
  <c r="D156" i="69"/>
  <c r="D170" i="69"/>
  <c r="G170" i="69" s="1"/>
  <c r="D171" i="69"/>
  <c r="G171" i="69" s="1"/>
  <c r="D172" i="69"/>
  <c r="G172" i="69" s="1"/>
  <c r="D173" i="69"/>
  <c r="G173" i="69" s="1"/>
  <c r="D174" i="69"/>
  <c r="G174" i="69" s="1"/>
  <c r="D175" i="69"/>
  <c r="G175" i="69" s="1"/>
  <c r="D176" i="69"/>
  <c r="G176" i="69" s="1"/>
  <c r="D177" i="69"/>
  <c r="G177" i="69" s="1"/>
  <c r="D194" i="69"/>
  <c r="G194" i="69" s="1"/>
  <c r="D195" i="69"/>
  <c r="G195" i="69" s="1"/>
  <c r="D197" i="69"/>
  <c r="G197" i="69" s="1"/>
  <c r="D213" i="69"/>
  <c r="G213" i="69" s="1"/>
  <c r="D214" i="69"/>
  <c r="G214" i="69" s="1"/>
  <c r="D215" i="69"/>
  <c r="G215" i="69" s="1"/>
  <c r="D218" i="69"/>
  <c r="G218" i="69" s="1"/>
  <c r="D220" i="69"/>
  <c r="G220" i="69" s="1"/>
  <c r="D233" i="69"/>
  <c r="G233" i="69" s="1"/>
  <c r="D234" i="69"/>
  <c r="G234" i="69" s="1"/>
  <c r="D235" i="69"/>
  <c r="G235" i="69" s="1"/>
  <c r="D236" i="69"/>
  <c r="G236" i="69" s="1"/>
  <c r="D237" i="69"/>
  <c r="G237" i="69" s="1"/>
  <c r="D238" i="69"/>
  <c r="G238" i="69" s="1"/>
  <c r="D239" i="69"/>
  <c r="G239" i="69" s="1"/>
  <c r="D240" i="69"/>
  <c r="G240" i="69" s="1"/>
  <c r="D255" i="69"/>
  <c r="G255" i="69" s="1"/>
  <c r="AO255" i="69" s="1"/>
  <c r="D256" i="69"/>
  <c r="G256" i="69" s="1"/>
  <c r="AO256" i="69" s="1"/>
  <c r="D257" i="69"/>
  <c r="G257" i="69" s="1"/>
  <c r="AO257" i="69" s="1"/>
  <c r="D258" i="69"/>
  <c r="G258" i="69" s="1"/>
  <c r="AO258" i="69" s="1"/>
  <c r="D259" i="69"/>
  <c r="G259" i="69" s="1"/>
  <c r="AO259" i="69" s="1"/>
  <c r="D260" i="69"/>
  <c r="G260" i="69" s="1"/>
  <c r="AO260" i="69" s="1"/>
  <c r="D261" i="69"/>
  <c r="G261" i="69" s="1"/>
  <c r="AO261" i="69" s="1"/>
  <c r="D262" i="69"/>
  <c r="G262" i="69" s="1"/>
  <c r="AO262" i="69" s="1"/>
  <c r="D334" i="68"/>
  <c r="D335" i="68"/>
  <c r="G335" i="68" s="1"/>
  <c r="D336" i="68"/>
  <c r="G336" i="68" s="1"/>
  <c r="D337" i="68"/>
  <c r="G337" i="68" s="1"/>
  <c r="D338" i="68"/>
  <c r="G338" i="68" s="1"/>
  <c r="D339" i="68"/>
  <c r="G339" i="68" s="1"/>
  <c r="D340" i="68"/>
  <c r="G340" i="68" s="1"/>
  <c r="D356" i="68"/>
  <c r="D357" i="68"/>
  <c r="G357" i="68" s="1"/>
  <c r="D358" i="68"/>
  <c r="G358" i="68" s="1"/>
  <c r="D359" i="68"/>
  <c r="G359" i="68" s="1"/>
  <c r="D360" i="68"/>
  <c r="G360" i="68" s="1"/>
  <c r="D361" i="68"/>
  <c r="G361" i="68" s="1"/>
  <c r="D362" i="68"/>
  <c r="G362" i="68" s="1"/>
  <c r="D374" i="68"/>
  <c r="G374" i="68" s="1"/>
  <c r="D375" i="68"/>
  <c r="G375" i="68" s="1"/>
  <c r="D376" i="68"/>
  <c r="G376" i="68" s="1"/>
  <c r="D377" i="68"/>
  <c r="G377" i="68" s="1"/>
  <c r="D378" i="68"/>
  <c r="G378" i="68" s="1"/>
  <c r="D379" i="68"/>
  <c r="G379" i="68" s="1"/>
  <c r="D380" i="68"/>
  <c r="G380" i="68" s="1"/>
  <c r="D396" i="68"/>
  <c r="G396" i="68" s="1"/>
  <c r="D397" i="68"/>
  <c r="G397" i="68" s="1"/>
  <c r="D398" i="68"/>
  <c r="G398" i="68" s="1"/>
  <c r="D399" i="68"/>
  <c r="G399" i="68" s="1"/>
  <c r="D400" i="68"/>
  <c r="G400" i="68" s="1"/>
  <c r="D401" i="68"/>
  <c r="G401" i="68" s="1"/>
  <c r="D402" i="68"/>
  <c r="G402" i="68" s="1"/>
  <c r="AO218" i="69" l="1"/>
  <c r="H218" i="69"/>
  <c r="I218" i="69"/>
  <c r="J218" i="69"/>
  <c r="AO72" i="69"/>
  <c r="AQ72" i="69" s="1"/>
  <c r="G72" i="69"/>
  <c r="D46" i="68"/>
  <c r="D395" i="68"/>
  <c r="D373" i="68"/>
  <c r="J238" i="69"/>
  <c r="I238" i="69"/>
  <c r="AO238" i="69"/>
  <c r="H238" i="69"/>
  <c r="C503" i="68"/>
  <c r="D219" i="69"/>
  <c r="G219" i="69" s="1"/>
  <c r="D198" i="69"/>
  <c r="G198" i="69" s="1"/>
  <c r="D190" i="69"/>
  <c r="C496" i="68"/>
  <c r="J170" i="69"/>
  <c r="I170" i="69"/>
  <c r="H170" i="69"/>
  <c r="AP170" i="69"/>
  <c r="D150" i="69"/>
  <c r="C478" i="68"/>
  <c r="D132" i="69"/>
  <c r="D459" i="68"/>
  <c r="AO111" i="69"/>
  <c r="AQ111" i="69" s="1"/>
  <c r="G111" i="69"/>
  <c r="AO93" i="69"/>
  <c r="AQ93" i="69" s="1"/>
  <c r="G93" i="69"/>
  <c r="AO73" i="69"/>
  <c r="AQ73" i="69" s="1"/>
  <c r="G73" i="69"/>
  <c r="AO53" i="69"/>
  <c r="AQ53" i="69" s="1"/>
  <c r="G53" i="69"/>
  <c r="AN34" i="69"/>
  <c r="G34" i="69"/>
  <c r="G16" i="69"/>
  <c r="AN16" i="69"/>
  <c r="D8" i="69"/>
  <c r="C436" i="68"/>
  <c r="D173" i="68"/>
  <c r="G173" i="68" s="1"/>
  <c r="D418" i="68"/>
  <c r="D67" i="68"/>
  <c r="I47" i="68"/>
  <c r="H47" i="68"/>
  <c r="J47" i="68"/>
  <c r="J31" i="68"/>
  <c r="I31" i="68"/>
  <c r="H31" i="68"/>
  <c r="D458" i="68"/>
  <c r="D131" i="69"/>
  <c r="C443" i="68"/>
  <c r="D15" i="69"/>
  <c r="C444" i="68"/>
  <c r="G444" i="68" s="1"/>
  <c r="D355" i="68"/>
  <c r="G355" i="68" s="1"/>
  <c r="AO236" i="69"/>
  <c r="H236" i="69"/>
  <c r="I236" i="69"/>
  <c r="J236" i="69"/>
  <c r="C501" i="68"/>
  <c r="D217" i="69"/>
  <c r="G217" i="69" s="1"/>
  <c r="D196" i="69"/>
  <c r="G196" i="69" s="1"/>
  <c r="C502" i="68"/>
  <c r="H176" i="69"/>
  <c r="J176" i="69"/>
  <c r="I176" i="69"/>
  <c r="AP176" i="69"/>
  <c r="AO156" i="69"/>
  <c r="AQ156" i="69" s="1"/>
  <c r="G156" i="69"/>
  <c r="C476" i="68"/>
  <c r="D148" i="69"/>
  <c r="D130" i="69"/>
  <c r="D457" i="68"/>
  <c r="AO109" i="69"/>
  <c r="AQ109" i="69" s="1"/>
  <c r="G109" i="69"/>
  <c r="AO91" i="69"/>
  <c r="AQ91" i="69" s="1"/>
  <c r="G91" i="69"/>
  <c r="AO71" i="69"/>
  <c r="AQ71" i="69" s="1"/>
  <c r="G71" i="69"/>
  <c r="G51" i="69"/>
  <c r="AO51" i="69"/>
  <c r="AQ51" i="69" s="1"/>
  <c r="AN32" i="69"/>
  <c r="G32" i="69"/>
  <c r="D14" i="69"/>
  <c r="C442" i="68"/>
  <c r="D190" i="68"/>
  <c r="D171" i="68"/>
  <c r="G171" i="68" s="1"/>
  <c r="D416" i="68"/>
  <c r="J53" i="68"/>
  <c r="I53" i="68"/>
  <c r="H53" i="68"/>
  <c r="H37" i="68"/>
  <c r="J37" i="68"/>
  <c r="I37" i="68"/>
  <c r="D29" i="68"/>
  <c r="AO197" i="69"/>
  <c r="I197" i="69"/>
  <c r="J197" i="69"/>
  <c r="H197" i="69"/>
  <c r="G92" i="69"/>
  <c r="AO92" i="69"/>
  <c r="AQ92" i="69" s="1"/>
  <c r="D272" i="68"/>
  <c r="I30" i="68"/>
  <c r="J30" i="68"/>
  <c r="H30" i="68"/>
  <c r="G334" i="68"/>
  <c r="H235" i="69"/>
  <c r="I235" i="69"/>
  <c r="AO235" i="69"/>
  <c r="J235" i="69"/>
  <c r="C500" i="68"/>
  <c r="D216" i="69"/>
  <c r="G216" i="69" s="1"/>
  <c r="AO195" i="69"/>
  <c r="J195" i="69"/>
  <c r="I195" i="69"/>
  <c r="H195" i="69"/>
  <c r="J175" i="69"/>
  <c r="I175" i="69"/>
  <c r="H175" i="69"/>
  <c r="AP175" i="69"/>
  <c r="D155" i="69"/>
  <c r="C483" i="68"/>
  <c r="D137" i="69"/>
  <c r="D129" i="69"/>
  <c r="D456" i="68"/>
  <c r="G108" i="69"/>
  <c r="AO108" i="69"/>
  <c r="AQ108" i="69" s="1"/>
  <c r="G90" i="69"/>
  <c r="AO90" i="69"/>
  <c r="AQ90" i="69" s="1"/>
  <c r="AO70" i="69"/>
  <c r="AQ70" i="69" s="1"/>
  <c r="G70" i="69"/>
  <c r="G50" i="69"/>
  <c r="AO50" i="69"/>
  <c r="AQ50" i="69" s="1"/>
  <c r="G31" i="69"/>
  <c r="AN31" i="69"/>
  <c r="D13" i="69"/>
  <c r="C441" i="68"/>
  <c r="D170" i="68"/>
  <c r="D415" i="68"/>
  <c r="H52" i="68"/>
  <c r="J52" i="68"/>
  <c r="I52" i="68"/>
  <c r="J36" i="68"/>
  <c r="H36" i="68"/>
  <c r="I36" i="68"/>
  <c r="D8" i="68"/>
  <c r="G8" i="68" s="1"/>
  <c r="C477" i="68"/>
  <c r="D149" i="69"/>
  <c r="D333" i="68"/>
  <c r="G333" i="68" s="1"/>
  <c r="J234" i="69"/>
  <c r="I234" i="69"/>
  <c r="H234" i="69"/>
  <c r="AO234" i="69"/>
  <c r="H215" i="69"/>
  <c r="J215" i="69"/>
  <c r="I215" i="69"/>
  <c r="AO215" i="69"/>
  <c r="H194" i="69"/>
  <c r="J194" i="69"/>
  <c r="AO194" i="69"/>
  <c r="I194" i="69"/>
  <c r="H174" i="69"/>
  <c r="J174" i="69"/>
  <c r="I174" i="69"/>
  <c r="AP174" i="69"/>
  <c r="D154" i="69"/>
  <c r="C482" i="68"/>
  <c r="D463" i="68"/>
  <c r="D136" i="69"/>
  <c r="AO115" i="69"/>
  <c r="AQ115" i="69" s="1"/>
  <c r="G115" i="69"/>
  <c r="D107" i="69"/>
  <c r="AO89" i="69"/>
  <c r="AQ89" i="69" s="1"/>
  <c r="G89" i="69"/>
  <c r="AO69" i="69"/>
  <c r="AQ69" i="69" s="1"/>
  <c r="G69" i="69"/>
  <c r="AO49" i="69"/>
  <c r="AQ49" i="69" s="1"/>
  <c r="G49" i="69"/>
  <c r="AN30" i="69"/>
  <c r="G30" i="69"/>
  <c r="D12" i="69"/>
  <c r="C440" i="68"/>
  <c r="D177" i="68"/>
  <c r="G177" i="68" s="1"/>
  <c r="D422" i="68"/>
  <c r="D149" i="68"/>
  <c r="I51" i="68"/>
  <c r="J51" i="68"/>
  <c r="H51" i="68"/>
  <c r="J35" i="68"/>
  <c r="H35" i="68"/>
  <c r="I35" i="68"/>
  <c r="G356" i="68"/>
  <c r="H177" i="69"/>
  <c r="J177" i="69"/>
  <c r="AP177" i="69"/>
  <c r="I177" i="69"/>
  <c r="AO52" i="69"/>
  <c r="AQ52" i="69" s="1"/>
  <c r="G52" i="69"/>
  <c r="D172" i="68"/>
  <c r="G172" i="68" s="1"/>
  <c r="D417" i="68"/>
  <c r="D254" i="69"/>
  <c r="J233" i="69"/>
  <c r="H233" i="69"/>
  <c r="AO233" i="69"/>
  <c r="I233" i="69"/>
  <c r="J214" i="69"/>
  <c r="AO214" i="69"/>
  <c r="I214" i="69"/>
  <c r="H214" i="69"/>
  <c r="D193" i="69"/>
  <c r="G193" i="69" s="1"/>
  <c r="C499" i="68"/>
  <c r="J173" i="69"/>
  <c r="H173" i="69"/>
  <c r="I173" i="69"/>
  <c r="AP173" i="69"/>
  <c r="D153" i="69"/>
  <c r="C481" i="68"/>
  <c r="D135" i="69"/>
  <c r="D462" i="68"/>
  <c r="AO114" i="69"/>
  <c r="AQ114" i="69" s="1"/>
  <c r="G114" i="69"/>
  <c r="AO96" i="69"/>
  <c r="AQ96" i="69" s="1"/>
  <c r="G96" i="69"/>
  <c r="D88" i="69"/>
  <c r="D87" i="69" s="1"/>
  <c r="AO68" i="69"/>
  <c r="AQ68" i="69" s="1"/>
  <c r="G68" i="69"/>
  <c r="AO48" i="69"/>
  <c r="AQ48" i="69" s="1"/>
  <c r="G48" i="69"/>
  <c r="AN29" i="69"/>
  <c r="G29" i="69"/>
  <c r="D11" i="69"/>
  <c r="C439" i="68"/>
  <c r="D176" i="68"/>
  <c r="G176" i="68" s="1"/>
  <c r="D421" i="68"/>
  <c r="D128" i="68"/>
  <c r="H50" i="68"/>
  <c r="J50" i="68"/>
  <c r="I50" i="68"/>
  <c r="H34" i="68"/>
  <c r="I34" i="68"/>
  <c r="J34" i="68"/>
  <c r="D169" i="69"/>
  <c r="AN33" i="69"/>
  <c r="G33" i="69"/>
  <c r="I240" i="69"/>
  <c r="AO240" i="69"/>
  <c r="J240" i="69"/>
  <c r="H240" i="69"/>
  <c r="D232" i="69"/>
  <c r="AO213" i="69"/>
  <c r="J213" i="69"/>
  <c r="I213" i="69"/>
  <c r="H213" i="69"/>
  <c r="D192" i="69"/>
  <c r="G192" i="69" s="1"/>
  <c r="C498" i="68"/>
  <c r="H172" i="69"/>
  <c r="J172" i="69"/>
  <c r="I172" i="69"/>
  <c r="AP172" i="69"/>
  <c r="D152" i="69"/>
  <c r="C480" i="68"/>
  <c r="D134" i="69"/>
  <c r="D461" i="68"/>
  <c r="AO113" i="69"/>
  <c r="AQ113" i="69" s="1"/>
  <c r="G113" i="69"/>
  <c r="AO95" i="69"/>
  <c r="AQ95" i="69" s="1"/>
  <c r="G95" i="69"/>
  <c r="AO75" i="69"/>
  <c r="AQ75" i="69" s="1"/>
  <c r="G75" i="69"/>
  <c r="D67" i="69"/>
  <c r="D66" i="69" s="1"/>
  <c r="AO47" i="69"/>
  <c r="AQ47" i="69" s="1"/>
  <c r="G47" i="69"/>
  <c r="AN28" i="69"/>
  <c r="G28" i="69"/>
  <c r="D10" i="69"/>
  <c r="C438" i="68"/>
  <c r="D175" i="68"/>
  <c r="G175" i="68" s="1"/>
  <c r="D420" i="68"/>
  <c r="D108" i="68"/>
  <c r="J49" i="68"/>
  <c r="H49" i="68"/>
  <c r="I49" i="68"/>
  <c r="H33" i="68"/>
  <c r="I33" i="68"/>
  <c r="J33" i="68"/>
  <c r="H237" i="69"/>
  <c r="J237" i="69"/>
  <c r="I237" i="69"/>
  <c r="AO237" i="69"/>
  <c r="AO110" i="69"/>
  <c r="AQ110" i="69" s="1"/>
  <c r="G110" i="69"/>
  <c r="J54" i="68"/>
  <c r="I54" i="68"/>
  <c r="H54" i="68"/>
  <c r="AO239" i="69"/>
  <c r="H239" i="69"/>
  <c r="I239" i="69"/>
  <c r="J239" i="69"/>
  <c r="J220" i="69"/>
  <c r="I220" i="69"/>
  <c r="H220" i="69"/>
  <c r="AO220" i="69"/>
  <c r="D212" i="69"/>
  <c r="D191" i="69"/>
  <c r="G191" i="69" s="1"/>
  <c r="C497" i="68"/>
  <c r="I171" i="69"/>
  <c r="J171" i="69"/>
  <c r="H171" i="69"/>
  <c r="AP171" i="69"/>
  <c r="D151" i="69"/>
  <c r="C479" i="68"/>
  <c r="D133" i="69"/>
  <c r="D460" i="68"/>
  <c r="AO112" i="69"/>
  <c r="AQ112" i="69" s="1"/>
  <c r="G112" i="69"/>
  <c r="AO94" i="69"/>
  <c r="AQ94" i="69" s="1"/>
  <c r="G94" i="69"/>
  <c r="AO74" i="69"/>
  <c r="AQ74" i="69" s="1"/>
  <c r="G74" i="69"/>
  <c r="G54" i="69"/>
  <c r="AO54" i="69"/>
  <c r="AQ54" i="69" s="1"/>
  <c r="D46" i="69"/>
  <c r="D27" i="69"/>
  <c r="D9" i="69"/>
  <c r="C437" i="68"/>
  <c r="D174" i="68"/>
  <c r="G174" i="68" s="1"/>
  <c r="D419" i="68"/>
  <c r="D88" i="68"/>
  <c r="I48" i="68"/>
  <c r="H48" i="68"/>
  <c r="J48" i="68"/>
  <c r="I32" i="68"/>
  <c r="J32" i="68"/>
  <c r="H32" i="68"/>
  <c r="D354" i="68" l="1"/>
  <c r="G354" i="68" s="1"/>
  <c r="D332" i="68"/>
  <c r="G332" i="68" s="1"/>
  <c r="AO66" i="69"/>
  <c r="G66" i="69"/>
  <c r="J94" i="69"/>
  <c r="I94" i="69"/>
  <c r="AP94" i="69"/>
  <c r="H94" i="69"/>
  <c r="B440" i="68"/>
  <c r="G419" i="68"/>
  <c r="H47" i="69"/>
  <c r="J47" i="69"/>
  <c r="AP47" i="69"/>
  <c r="I47" i="69"/>
  <c r="I33" i="69"/>
  <c r="J33" i="69"/>
  <c r="H33" i="69"/>
  <c r="AP33" i="69"/>
  <c r="H70" i="69"/>
  <c r="I70" i="69"/>
  <c r="AP70" i="69"/>
  <c r="J70" i="69"/>
  <c r="G148" i="69"/>
  <c r="D147" i="69"/>
  <c r="AO148" i="69"/>
  <c r="AQ148" i="69" s="1"/>
  <c r="G46" i="68"/>
  <c r="D45" i="68"/>
  <c r="G45" i="68" s="1"/>
  <c r="I54" i="69"/>
  <c r="AP54" i="69"/>
  <c r="J54" i="69"/>
  <c r="H54" i="69"/>
  <c r="G133" i="69"/>
  <c r="AO133" i="69"/>
  <c r="I191" i="69"/>
  <c r="J191" i="69"/>
  <c r="H191" i="69"/>
  <c r="AO191" i="69"/>
  <c r="H110" i="69"/>
  <c r="I110" i="69"/>
  <c r="J110" i="69"/>
  <c r="AP110" i="69"/>
  <c r="G108" i="68"/>
  <c r="D107" i="68"/>
  <c r="G107" i="68" s="1"/>
  <c r="G232" i="69"/>
  <c r="D231" i="69"/>
  <c r="G231" i="69" s="1"/>
  <c r="AN11" i="69"/>
  <c r="G11" i="69"/>
  <c r="G88" i="69"/>
  <c r="AO88" i="69"/>
  <c r="AQ88" i="69" s="1"/>
  <c r="AO153" i="69"/>
  <c r="AQ153" i="69" s="1"/>
  <c r="G153" i="69"/>
  <c r="D253" i="69"/>
  <c r="G253" i="69" s="1"/>
  <c r="AO253" i="69" s="1"/>
  <c r="G254" i="69"/>
  <c r="AO254" i="69" s="1"/>
  <c r="AP49" i="69"/>
  <c r="H49" i="69"/>
  <c r="I49" i="69"/>
  <c r="J49" i="69"/>
  <c r="H115" i="69"/>
  <c r="AP115" i="69"/>
  <c r="I115" i="69"/>
  <c r="J115" i="69"/>
  <c r="G170" i="68"/>
  <c r="D169" i="68"/>
  <c r="G169" i="68" s="1"/>
  <c r="D128" i="69"/>
  <c r="G129" i="69"/>
  <c r="AO129" i="69"/>
  <c r="D189" i="68"/>
  <c r="G189" i="68" s="1"/>
  <c r="G190" i="68"/>
  <c r="C475" i="68"/>
  <c r="AO131" i="69"/>
  <c r="G131" i="69"/>
  <c r="G8" i="69"/>
  <c r="D7" i="69"/>
  <c r="AN8" i="69"/>
  <c r="AO198" i="69"/>
  <c r="J198" i="69"/>
  <c r="H198" i="69"/>
  <c r="I198" i="69"/>
  <c r="AP72" i="69"/>
  <c r="I72" i="69"/>
  <c r="J72" i="69"/>
  <c r="H72" i="69"/>
  <c r="H114" i="69"/>
  <c r="J114" i="69"/>
  <c r="I114" i="69"/>
  <c r="AP114" i="69"/>
  <c r="AO87" i="69"/>
  <c r="G87" i="69"/>
  <c r="H113" i="69"/>
  <c r="J113" i="69"/>
  <c r="I113" i="69"/>
  <c r="AP113" i="69"/>
  <c r="B436" i="68"/>
  <c r="G415" i="68"/>
  <c r="D414" i="68"/>
  <c r="G414" i="68" s="1"/>
  <c r="B496" i="68"/>
  <c r="B476" i="68"/>
  <c r="D455" i="68"/>
  <c r="G455" i="68" s="1"/>
  <c r="G456" i="68"/>
  <c r="H92" i="69"/>
  <c r="J92" i="69"/>
  <c r="AP92" i="69"/>
  <c r="I92" i="69"/>
  <c r="H71" i="69"/>
  <c r="AP71" i="69"/>
  <c r="I71" i="69"/>
  <c r="J71" i="69"/>
  <c r="H74" i="69"/>
  <c r="J74" i="69"/>
  <c r="I74" i="69"/>
  <c r="AP74" i="69"/>
  <c r="B441" i="68"/>
  <c r="G441" i="68" s="1"/>
  <c r="G420" i="68"/>
  <c r="B481" i="68"/>
  <c r="G481" i="68" s="1"/>
  <c r="B501" i="68"/>
  <c r="G501" i="68" s="1"/>
  <c r="G461" i="68"/>
  <c r="J29" i="69"/>
  <c r="AP29" i="69"/>
  <c r="H29" i="69"/>
  <c r="I29" i="69"/>
  <c r="AP96" i="69"/>
  <c r="H96" i="69"/>
  <c r="J96" i="69"/>
  <c r="I96" i="69"/>
  <c r="G149" i="68"/>
  <c r="D148" i="68"/>
  <c r="G148" i="68" s="1"/>
  <c r="AO137" i="69"/>
  <c r="G137" i="69"/>
  <c r="H91" i="69"/>
  <c r="AP91" i="69"/>
  <c r="I91" i="69"/>
  <c r="J91" i="69"/>
  <c r="J196" i="69"/>
  <c r="I196" i="69"/>
  <c r="H196" i="69"/>
  <c r="AO196" i="69"/>
  <c r="B498" i="68"/>
  <c r="G498" i="68" s="1"/>
  <c r="B478" i="68"/>
  <c r="G478" i="68" s="1"/>
  <c r="G458" i="68"/>
  <c r="G150" i="69"/>
  <c r="AO150" i="69"/>
  <c r="AQ150" i="69" s="1"/>
  <c r="B500" i="68"/>
  <c r="G500" i="68" s="1"/>
  <c r="B480" i="68"/>
  <c r="G480" i="68" s="1"/>
  <c r="G460" i="68"/>
  <c r="AO107" i="69"/>
  <c r="AQ107" i="69" s="1"/>
  <c r="G107" i="69"/>
  <c r="J73" i="69"/>
  <c r="H73" i="69"/>
  <c r="I73" i="69"/>
  <c r="AP73" i="69"/>
  <c r="AO132" i="69"/>
  <c r="G132" i="69"/>
  <c r="G190" i="69"/>
  <c r="D189" i="69"/>
  <c r="G189" i="69" s="1"/>
  <c r="AN9" i="69"/>
  <c r="G9" i="69"/>
  <c r="AO151" i="69"/>
  <c r="AQ151" i="69" s="1"/>
  <c r="G151" i="69"/>
  <c r="G212" i="69"/>
  <c r="D211" i="69"/>
  <c r="G211" i="69" s="1"/>
  <c r="G67" i="69"/>
  <c r="AO67" i="69"/>
  <c r="AQ67" i="69" s="1"/>
  <c r="G134" i="69"/>
  <c r="AO134" i="69"/>
  <c r="AO192" i="69"/>
  <c r="H192" i="69"/>
  <c r="I192" i="69"/>
  <c r="J192" i="69"/>
  <c r="G169" i="69"/>
  <c r="D168" i="69"/>
  <c r="G168" i="69" s="1"/>
  <c r="B443" i="68"/>
  <c r="G443" i="68" s="1"/>
  <c r="G422" i="68"/>
  <c r="J69" i="69"/>
  <c r="H69" i="69"/>
  <c r="I69" i="69"/>
  <c r="AP69" i="69"/>
  <c r="AO136" i="69"/>
  <c r="G136" i="69"/>
  <c r="AN13" i="69"/>
  <c r="G13" i="69"/>
  <c r="H90" i="69"/>
  <c r="I90" i="69"/>
  <c r="AP90" i="69"/>
  <c r="J90" i="69"/>
  <c r="AN14" i="69"/>
  <c r="G14" i="69"/>
  <c r="J156" i="69"/>
  <c r="AP156" i="69"/>
  <c r="H156" i="69"/>
  <c r="I156" i="69"/>
  <c r="AO217" i="69"/>
  <c r="H217" i="69"/>
  <c r="I217" i="69"/>
  <c r="J217" i="69"/>
  <c r="J16" i="69"/>
  <c r="H16" i="69"/>
  <c r="I16" i="69"/>
  <c r="AP93" i="69"/>
  <c r="J93" i="69"/>
  <c r="I93" i="69"/>
  <c r="H93" i="69"/>
  <c r="AO219" i="69"/>
  <c r="I219" i="69"/>
  <c r="H219" i="69"/>
  <c r="J219" i="69"/>
  <c r="D372" i="68"/>
  <c r="G372" i="68" s="1"/>
  <c r="G373" i="68"/>
  <c r="AN27" i="69"/>
  <c r="G27" i="69"/>
  <c r="G152" i="69"/>
  <c r="AO152" i="69"/>
  <c r="AQ152" i="69" s="1"/>
  <c r="G128" i="68"/>
  <c r="D127" i="68"/>
  <c r="G127" i="68" s="1"/>
  <c r="B438" i="68"/>
  <c r="G438" i="68" s="1"/>
  <c r="G417" i="68"/>
  <c r="G440" i="68"/>
  <c r="J89" i="69"/>
  <c r="H89" i="69"/>
  <c r="I89" i="69"/>
  <c r="AP89" i="69"/>
  <c r="I31" i="69"/>
  <c r="H31" i="69"/>
  <c r="J31" i="69"/>
  <c r="AP31" i="69"/>
  <c r="AO155" i="69"/>
  <c r="AQ155" i="69" s="1"/>
  <c r="G155" i="69"/>
  <c r="B439" i="68"/>
  <c r="G439" i="68" s="1"/>
  <c r="G418" i="68"/>
  <c r="I111" i="69"/>
  <c r="H111" i="69"/>
  <c r="J111" i="69"/>
  <c r="AP111" i="69"/>
  <c r="J75" i="69"/>
  <c r="AP75" i="69"/>
  <c r="I75" i="69"/>
  <c r="H75" i="69"/>
  <c r="AP48" i="69"/>
  <c r="H48" i="69"/>
  <c r="I48" i="69"/>
  <c r="J48" i="69"/>
  <c r="B483" i="68"/>
  <c r="G483" i="68" s="1"/>
  <c r="B503" i="68"/>
  <c r="G503" i="68" s="1"/>
  <c r="G463" i="68"/>
  <c r="G149" i="69"/>
  <c r="AO149" i="69"/>
  <c r="AQ149" i="69" s="1"/>
  <c r="J32" i="69"/>
  <c r="AP32" i="69"/>
  <c r="I32" i="69"/>
  <c r="H32" i="69"/>
  <c r="I34" i="69"/>
  <c r="AP34" i="69"/>
  <c r="H34" i="69"/>
  <c r="J34" i="69"/>
  <c r="J112" i="69"/>
  <c r="I112" i="69"/>
  <c r="H112" i="69"/>
  <c r="AP112" i="69"/>
  <c r="H28" i="69"/>
  <c r="I28" i="69"/>
  <c r="AP28" i="69"/>
  <c r="J28" i="69"/>
  <c r="H95" i="69"/>
  <c r="I95" i="69"/>
  <c r="J95" i="69"/>
  <c r="AP95" i="69"/>
  <c r="B442" i="68"/>
  <c r="G442" i="68" s="1"/>
  <c r="G421" i="68"/>
  <c r="H68" i="69"/>
  <c r="I68" i="69"/>
  <c r="AP68" i="69"/>
  <c r="J68" i="69"/>
  <c r="B502" i="68"/>
  <c r="G502" i="68" s="1"/>
  <c r="B482" i="68"/>
  <c r="G482" i="68" s="1"/>
  <c r="G462" i="68"/>
  <c r="AN12" i="69"/>
  <c r="G12" i="69"/>
  <c r="AO154" i="69"/>
  <c r="AQ154" i="69" s="1"/>
  <c r="G154" i="69"/>
  <c r="H108" i="69"/>
  <c r="J108" i="69"/>
  <c r="I108" i="69"/>
  <c r="AP108" i="69"/>
  <c r="AO216" i="69"/>
  <c r="H216" i="69"/>
  <c r="J216" i="69"/>
  <c r="I216" i="69"/>
  <c r="G272" i="68"/>
  <c r="D271" i="68"/>
  <c r="G271" i="68" s="1"/>
  <c r="B437" i="68"/>
  <c r="G437" i="68" s="1"/>
  <c r="G416" i="68"/>
  <c r="B477" i="68"/>
  <c r="G477" i="68" s="1"/>
  <c r="B497" i="68"/>
  <c r="G497" i="68" s="1"/>
  <c r="G457" i="68"/>
  <c r="H444" i="68"/>
  <c r="I444" i="68"/>
  <c r="J444" i="68"/>
  <c r="J53" i="69"/>
  <c r="H53" i="69"/>
  <c r="I53" i="69"/>
  <c r="AP53" i="69"/>
  <c r="D394" i="68"/>
  <c r="G394" i="68" s="1"/>
  <c r="G395" i="68"/>
  <c r="J109" i="69"/>
  <c r="H109" i="69"/>
  <c r="I109" i="69"/>
  <c r="AP109" i="69"/>
  <c r="D66" i="68"/>
  <c r="G66" i="68" s="1"/>
  <c r="G67" i="68"/>
  <c r="AN10" i="69"/>
  <c r="G10" i="69"/>
  <c r="D87" i="68"/>
  <c r="G87" i="68" s="1"/>
  <c r="G88" i="68"/>
  <c r="G46" i="69"/>
  <c r="AO46" i="69"/>
  <c r="AQ46" i="69" s="1"/>
  <c r="D45" i="69"/>
  <c r="G135" i="69"/>
  <c r="AO135" i="69"/>
  <c r="J193" i="69"/>
  <c r="I193" i="69"/>
  <c r="H193" i="69"/>
  <c r="AO193" i="69"/>
  <c r="H52" i="69"/>
  <c r="I52" i="69"/>
  <c r="J52" i="69"/>
  <c r="AP52" i="69"/>
  <c r="H30" i="69"/>
  <c r="J30" i="69"/>
  <c r="AP30" i="69"/>
  <c r="I30" i="69"/>
  <c r="I50" i="69"/>
  <c r="J50" i="69"/>
  <c r="AP50" i="69"/>
  <c r="H50" i="69"/>
  <c r="D106" i="69"/>
  <c r="D28" i="68"/>
  <c r="G28" i="68" s="1"/>
  <c r="G29" i="68"/>
  <c r="J51" i="69"/>
  <c r="H51" i="69"/>
  <c r="AP51" i="69"/>
  <c r="I51" i="69"/>
  <c r="AO130" i="69"/>
  <c r="G130" i="69"/>
  <c r="AN15" i="69"/>
  <c r="G15" i="69"/>
  <c r="C435" i="68"/>
  <c r="B479" i="68"/>
  <c r="G479" i="68" s="1"/>
  <c r="B499" i="68"/>
  <c r="G499" i="68" s="1"/>
  <c r="G459" i="68"/>
  <c r="C495" i="68"/>
  <c r="B435" i="68" l="1"/>
  <c r="G435" i="68" s="1"/>
  <c r="H497" i="68"/>
  <c r="J497" i="68"/>
  <c r="I497" i="68"/>
  <c r="I502" i="68"/>
  <c r="J502" i="68"/>
  <c r="H502" i="68"/>
  <c r="I443" i="68"/>
  <c r="H443" i="68"/>
  <c r="J443" i="68"/>
  <c r="J437" i="68"/>
  <c r="H437" i="68"/>
  <c r="I437" i="68"/>
  <c r="I442" i="68"/>
  <c r="J442" i="68"/>
  <c r="H442" i="68"/>
  <c r="H479" i="68"/>
  <c r="I479" i="68"/>
  <c r="J479" i="68"/>
  <c r="H438" i="68"/>
  <c r="I438" i="68"/>
  <c r="J438" i="68"/>
  <c r="G436" i="68"/>
  <c r="I135" i="69"/>
  <c r="H135" i="69"/>
  <c r="J135" i="69"/>
  <c r="AP135" i="69"/>
  <c r="H462" i="68"/>
  <c r="J462" i="68"/>
  <c r="I462" i="68"/>
  <c r="I440" i="68"/>
  <c r="H440" i="68"/>
  <c r="J440" i="68"/>
  <c r="I212" i="69"/>
  <c r="H212" i="69"/>
  <c r="J212" i="69"/>
  <c r="AO212" i="69"/>
  <c r="J132" i="69"/>
  <c r="I132" i="69"/>
  <c r="H132" i="69"/>
  <c r="AP132" i="69"/>
  <c r="H501" i="68"/>
  <c r="I501" i="68"/>
  <c r="J501" i="68"/>
  <c r="H131" i="69"/>
  <c r="J131" i="69"/>
  <c r="I131" i="69"/>
  <c r="AP131" i="69"/>
  <c r="I231" i="69"/>
  <c r="AO231" i="69"/>
  <c r="H231" i="69"/>
  <c r="J231" i="69"/>
  <c r="AO147" i="69"/>
  <c r="G147" i="69"/>
  <c r="J455" i="68"/>
  <c r="I455" i="68"/>
  <c r="H455" i="68"/>
  <c r="J129" i="69"/>
  <c r="H129" i="69"/>
  <c r="I129" i="69"/>
  <c r="AP129" i="69"/>
  <c r="H149" i="69"/>
  <c r="J149" i="69"/>
  <c r="I149" i="69"/>
  <c r="AP149" i="69"/>
  <c r="J232" i="69"/>
  <c r="I232" i="69"/>
  <c r="AO232" i="69"/>
  <c r="H232" i="69"/>
  <c r="H148" i="69"/>
  <c r="I148" i="69"/>
  <c r="J148" i="69"/>
  <c r="AP148" i="69"/>
  <c r="H417" i="68"/>
  <c r="J417" i="68"/>
  <c r="I417" i="68"/>
  <c r="H460" i="68"/>
  <c r="J460" i="68"/>
  <c r="I460" i="68"/>
  <c r="I478" i="68"/>
  <c r="J478" i="68"/>
  <c r="H478" i="68"/>
  <c r="I420" i="68"/>
  <c r="H420" i="68"/>
  <c r="J420" i="68"/>
  <c r="I28" i="68"/>
  <c r="H28" i="68"/>
  <c r="J28" i="68"/>
  <c r="AO45" i="69"/>
  <c r="G45" i="69"/>
  <c r="J477" i="68"/>
  <c r="H477" i="68"/>
  <c r="I477" i="68"/>
  <c r="J154" i="69"/>
  <c r="H154" i="69"/>
  <c r="I154" i="69"/>
  <c r="AP154" i="69"/>
  <c r="J503" i="68"/>
  <c r="H503" i="68"/>
  <c r="I503" i="68"/>
  <c r="H439" i="68"/>
  <c r="J439" i="68"/>
  <c r="I439" i="68"/>
  <c r="J14" i="69"/>
  <c r="AP14" i="69"/>
  <c r="I14" i="69"/>
  <c r="H14" i="69"/>
  <c r="H134" i="69"/>
  <c r="I134" i="69"/>
  <c r="J134" i="69"/>
  <c r="AP134" i="69"/>
  <c r="J9" i="69"/>
  <c r="H9" i="69"/>
  <c r="AP9" i="69"/>
  <c r="I9" i="69"/>
  <c r="I480" i="68"/>
  <c r="H480" i="68"/>
  <c r="J480" i="68"/>
  <c r="G476" i="68"/>
  <c r="B475" i="68"/>
  <c r="G475" i="68" s="1"/>
  <c r="AO128" i="69"/>
  <c r="G128" i="69"/>
  <c r="I481" i="68"/>
  <c r="J481" i="68"/>
  <c r="H481" i="68"/>
  <c r="H15" i="69"/>
  <c r="AP15" i="69"/>
  <c r="J15" i="69"/>
  <c r="I15" i="69"/>
  <c r="J418" i="68"/>
  <c r="H418" i="68"/>
  <c r="I418" i="68"/>
  <c r="H422" i="68"/>
  <c r="J422" i="68"/>
  <c r="I422" i="68"/>
  <c r="H130" i="69"/>
  <c r="J130" i="69"/>
  <c r="I130" i="69"/>
  <c r="AP130" i="69"/>
  <c r="I416" i="68"/>
  <c r="H416" i="68"/>
  <c r="J416" i="68"/>
  <c r="I483" i="68"/>
  <c r="H483" i="68"/>
  <c r="J483" i="68"/>
  <c r="I136" i="69"/>
  <c r="H136" i="69"/>
  <c r="J136" i="69"/>
  <c r="AP136" i="69"/>
  <c r="AP168" i="69"/>
  <c r="H168" i="69"/>
  <c r="I168" i="69"/>
  <c r="J168" i="69"/>
  <c r="J500" i="68"/>
  <c r="H500" i="68"/>
  <c r="I500" i="68"/>
  <c r="G496" i="68"/>
  <c r="B495" i="68"/>
  <c r="G495" i="68" s="1"/>
  <c r="H88" i="69"/>
  <c r="J88" i="69"/>
  <c r="I88" i="69"/>
  <c r="AP88" i="69"/>
  <c r="H45" i="68"/>
  <c r="J45" i="68"/>
  <c r="I45" i="68"/>
  <c r="AP27" i="69"/>
  <c r="H27" i="69"/>
  <c r="I27" i="69"/>
  <c r="J27" i="69"/>
  <c r="J458" i="68"/>
  <c r="I458" i="68"/>
  <c r="H458" i="68"/>
  <c r="J456" i="68"/>
  <c r="I456" i="68"/>
  <c r="H456" i="68"/>
  <c r="J153" i="69"/>
  <c r="I153" i="69"/>
  <c r="H153" i="69"/>
  <c r="AP153" i="69"/>
  <c r="J29" i="68"/>
  <c r="I29" i="68"/>
  <c r="H29" i="68"/>
  <c r="I463" i="68"/>
  <c r="H463" i="68"/>
  <c r="J463" i="68"/>
  <c r="J13" i="69"/>
  <c r="I13" i="69"/>
  <c r="H13" i="69"/>
  <c r="AP13" i="69"/>
  <c r="AO106" i="69"/>
  <c r="G106" i="69"/>
  <c r="H459" i="68"/>
  <c r="J459" i="68"/>
  <c r="I459" i="68"/>
  <c r="J46" i="69"/>
  <c r="AP46" i="69"/>
  <c r="I46" i="69"/>
  <c r="H46" i="69"/>
  <c r="J12" i="69"/>
  <c r="I12" i="69"/>
  <c r="H12" i="69"/>
  <c r="AP12" i="69"/>
  <c r="H169" i="69"/>
  <c r="J169" i="69"/>
  <c r="I169" i="69"/>
  <c r="AP169" i="69"/>
  <c r="J67" i="69"/>
  <c r="H67" i="69"/>
  <c r="AP67" i="69"/>
  <c r="I67" i="69"/>
  <c r="I137" i="69"/>
  <c r="J137" i="69"/>
  <c r="H137" i="69"/>
  <c r="AP137" i="69"/>
  <c r="H414" i="68"/>
  <c r="I414" i="68"/>
  <c r="J414" i="68"/>
  <c r="J11" i="69"/>
  <c r="H11" i="69"/>
  <c r="I11" i="69"/>
  <c r="AP11" i="69"/>
  <c r="H46" i="68"/>
  <c r="J46" i="68"/>
  <c r="I46" i="68"/>
  <c r="H457" i="68"/>
  <c r="J457" i="68"/>
  <c r="I457" i="68"/>
  <c r="H482" i="68"/>
  <c r="I482" i="68"/>
  <c r="J482" i="68"/>
  <c r="H10" i="69"/>
  <c r="AP10" i="69"/>
  <c r="J10" i="69"/>
  <c r="I10" i="69"/>
  <c r="I499" i="68"/>
  <c r="J499" i="68"/>
  <c r="H499" i="68"/>
  <c r="H155" i="69"/>
  <c r="J155" i="69"/>
  <c r="I155" i="69"/>
  <c r="AP155" i="69"/>
  <c r="J189" i="69"/>
  <c r="H189" i="69"/>
  <c r="I189" i="69"/>
  <c r="AO189" i="69"/>
  <c r="I498" i="68"/>
  <c r="J498" i="68"/>
  <c r="H498" i="68"/>
  <c r="H415" i="68"/>
  <c r="I415" i="68"/>
  <c r="J415" i="68"/>
  <c r="J87" i="69"/>
  <c r="I87" i="69"/>
  <c r="AP87" i="69"/>
  <c r="AQ87" i="69" s="1"/>
  <c r="H87" i="69"/>
  <c r="AN7" i="69"/>
  <c r="G7" i="69"/>
  <c r="I66" i="69"/>
  <c r="J66" i="69"/>
  <c r="AP66" i="69"/>
  <c r="AQ66" i="69" s="1"/>
  <c r="H66" i="69"/>
  <c r="H151" i="69"/>
  <c r="J151" i="69"/>
  <c r="I151" i="69"/>
  <c r="AP151" i="69"/>
  <c r="J421" i="68"/>
  <c r="I421" i="68"/>
  <c r="H421" i="68"/>
  <c r="J152" i="69"/>
  <c r="I152" i="69"/>
  <c r="H152" i="69"/>
  <c r="AP152" i="69"/>
  <c r="I211" i="69"/>
  <c r="H211" i="69"/>
  <c r="J211" i="69"/>
  <c r="AO211" i="69"/>
  <c r="AO190" i="69"/>
  <c r="J190" i="69"/>
  <c r="H190" i="69"/>
  <c r="I190" i="69"/>
  <c r="H107" i="69"/>
  <c r="J107" i="69"/>
  <c r="I107" i="69"/>
  <c r="AP107" i="69"/>
  <c r="J150" i="69"/>
  <c r="H150" i="69"/>
  <c r="I150" i="69"/>
  <c r="AP150" i="69"/>
  <c r="J441" i="68"/>
  <c r="H441" i="68"/>
  <c r="I441" i="68"/>
  <c r="J461" i="68"/>
  <c r="H461" i="68"/>
  <c r="I461" i="68"/>
  <c r="J8" i="69"/>
  <c r="I8" i="69"/>
  <c r="AP8" i="69"/>
  <c r="H8" i="69"/>
  <c r="I133" i="69"/>
  <c r="J133" i="69"/>
  <c r="H133" i="69"/>
  <c r="AP133" i="69"/>
  <c r="H419" i="68"/>
  <c r="I419" i="68"/>
  <c r="J419" i="68"/>
  <c r="I476" i="68" l="1"/>
  <c r="H476" i="68"/>
  <c r="J476" i="68"/>
  <c r="J128" i="69"/>
  <c r="H128" i="69"/>
  <c r="I128" i="69"/>
  <c r="AP128" i="69"/>
  <c r="H45" i="69"/>
  <c r="I45" i="69"/>
  <c r="J45" i="69"/>
  <c r="AP45" i="69"/>
  <c r="AQ45" i="69" s="1"/>
  <c r="J436" i="68"/>
  <c r="I436" i="68"/>
  <c r="H436" i="68"/>
  <c r="I7" i="69"/>
  <c r="J7" i="69"/>
  <c r="H7" i="69"/>
  <c r="AP7" i="69"/>
  <c r="J106" i="69"/>
  <c r="I106" i="69"/>
  <c r="H106" i="69"/>
  <c r="AP106" i="69"/>
  <c r="AQ106" i="69" s="1"/>
  <c r="AP147" i="69"/>
  <c r="AQ147" i="69" s="1"/>
  <c r="I147" i="69"/>
  <c r="J147" i="69"/>
  <c r="H147" i="69"/>
  <c r="D35" i="69"/>
  <c r="H435" i="68"/>
  <c r="J435" i="68"/>
  <c r="I435" i="68"/>
  <c r="J495" i="68"/>
  <c r="I495" i="68"/>
  <c r="V497" i="68"/>
  <c r="V502" i="68" s="1"/>
  <c r="H495" i="68"/>
  <c r="H496" i="68"/>
  <c r="I496" i="68"/>
  <c r="J496" i="68"/>
  <c r="I475" i="68"/>
  <c r="J475" i="68"/>
  <c r="H475" i="68"/>
  <c r="V482" i="68"/>
  <c r="V476" i="68" s="1"/>
  <c r="AN35" i="69" l="1"/>
  <c r="G35" i="69"/>
  <c r="D26" i="69"/>
  <c r="AN26" i="69" l="1"/>
  <c r="G26" i="69"/>
  <c r="I35" i="69"/>
  <c r="H35" i="69"/>
  <c r="J35" i="69"/>
  <c r="AP26" i="69" l="1"/>
  <c r="J26" i="69"/>
  <c r="I26" i="69"/>
  <c r="H26" i="69"/>
  <c r="AT3" i="15" l="1"/>
  <c r="AZ3" i="15"/>
  <c r="AU3" i="15"/>
  <c r="AY3" i="15"/>
  <c r="AV3" i="15"/>
  <c r="AW3" i="15"/>
  <c r="AX3" i="15"/>
  <c r="BA3" i="15"/>
  <c r="BB3" i="15"/>
  <c r="BC3" i="15"/>
  <c r="BA3" i="44"/>
  <c r="B2" i="44"/>
  <c r="B2" i="15"/>
  <c r="D12" i="41"/>
  <c r="C8" i="41"/>
  <c r="V2" i="68" l="1"/>
  <c r="V2" i="69"/>
  <c r="Q50" i="41"/>
  <c r="BA6" i="44"/>
  <c r="BA8" i="44"/>
  <c r="BA11" i="44"/>
  <c r="BA10" i="44"/>
  <c r="BA5" i="44"/>
  <c r="C9" i="41"/>
  <c r="G12" i="68" l="1"/>
  <c r="G14" i="68"/>
  <c r="G11" i="68"/>
  <c r="G15" i="68"/>
  <c r="G13" i="68"/>
  <c r="G10" i="68"/>
  <c r="E127" i="68"/>
  <c r="E128" i="68" s="1"/>
  <c r="E129" i="68" s="1"/>
  <c r="E130" i="68" s="1"/>
  <c r="E131" i="68" s="1"/>
  <c r="E132" i="68" s="1"/>
  <c r="E133" i="68" s="1"/>
  <c r="E134" i="68" s="1"/>
  <c r="E135" i="68" s="1"/>
  <c r="E136" i="68" s="1"/>
  <c r="E107" i="68"/>
  <c r="E108" i="68" s="1"/>
  <c r="E109" i="68" s="1"/>
  <c r="E110" i="68" s="1"/>
  <c r="E111" i="68" s="1"/>
  <c r="E112" i="68" s="1"/>
  <c r="E113" i="68" s="1"/>
  <c r="E114" i="68" s="1"/>
  <c r="E115" i="68" s="1"/>
  <c r="E116" i="68" s="1"/>
  <c r="E169" i="68"/>
  <c r="E170" i="68" s="1"/>
  <c r="E171" i="68" s="1"/>
  <c r="E172" i="68" s="1"/>
  <c r="E173" i="68" s="1"/>
  <c r="E174" i="68" s="1"/>
  <c r="E175" i="68" s="1"/>
  <c r="E176" i="68" s="1"/>
  <c r="E177" i="68" s="1"/>
  <c r="E178" i="68" s="1"/>
  <c r="E148" i="68"/>
  <c r="E149" i="68" s="1"/>
  <c r="E150" i="68" s="1"/>
  <c r="E151" i="68" s="1"/>
  <c r="E152" i="68" s="1"/>
  <c r="E153" i="68" s="1"/>
  <c r="E154" i="68" s="1"/>
  <c r="E155" i="68" s="1"/>
  <c r="E156" i="68" s="1"/>
  <c r="E157" i="68" s="1"/>
  <c r="E271" i="68"/>
  <c r="E272" i="68" s="1"/>
  <c r="E273" i="68" s="1"/>
  <c r="E274" i="68" s="1"/>
  <c r="E275" i="68" s="1"/>
  <c r="E276" i="68" s="1"/>
  <c r="E277" i="68" s="1"/>
  <c r="E278" i="68" s="1"/>
  <c r="E279" i="68" s="1"/>
  <c r="E280" i="68" s="1"/>
  <c r="E253" i="69"/>
  <c r="E254" i="69" s="1"/>
  <c r="E255" i="69" s="1"/>
  <c r="E256" i="69" s="1"/>
  <c r="E257" i="69" s="1"/>
  <c r="E258" i="69" s="1"/>
  <c r="E259" i="69" s="1"/>
  <c r="E260" i="69" s="1"/>
  <c r="E261" i="69" s="1"/>
  <c r="E262" i="69" s="1"/>
  <c r="E87" i="68"/>
  <c r="E88" i="68" s="1"/>
  <c r="E89" i="68" s="1"/>
  <c r="E90" i="68" s="1"/>
  <c r="E91" i="68" s="1"/>
  <c r="E92" i="68" s="1"/>
  <c r="E93" i="68" s="1"/>
  <c r="E94" i="68" s="1"/>
  <c r="E95" i="68" s="1"/>
  <c r="E96" i="68" s="1"/>
  <c r="E354" i="68"/>
  <c r="E355" i="68" s="1"/>
  <c r="E356" i="68" s="1"/>
  <c r="E357" i="68" s="1"/>
  <c r="E358" i="68" s="1"/>
  <c r="E359" i="68" s="1"/>
  <c r="E360" i="68" s="1"/>
  <c r="E361" i="68" s="1"/>
  <c r="E362" i="68" s="1"/>
  <c r="E312" i="68"/>
  <c r="E313" i="68" s="1"/>
  <c r="E314" i="68" s="1"/>
  <c r="E315" i="68" s="1"/>
  <c r="E316" i="68" s="1"/>
  <c r="E317" i="68" s="1"/>
  <c r="E318" i="68" s="1"/>
  <c r="E319" i="68" s="1"/>
  <c r="E320" i="68" s="1"/>
  <c r="E45" i="68"/>
  <c r="E46" i="68" s="1"/>
  <c r="E47" i="68" s="1"/>
  <c r="E48" i="68" s="1"/>
  <c r="E49" i="68" s="1"/>
  <c r="E50" i="68" s="1"/>
  <c r="E51" i="68" s="1"/>
  <c r="E52" i="68" s="1"/>
  <c r="E53" i="68" s="1"/>
  <c r="E54" i="68" s="1"/>
  <c r="F7" i="68"/>
  <c r="F8" i="68" s="1"/>
  <c r="F9" i="68" s="1"/>
  <c r="F10" i="68" s="1"/>
  <c r="F11" i="68" s="1"/>
  <c r="F12" i="68" s="1"/>
  <c r="F13" i="68" s="1"/>
  <c r="F14" i="68" s="1"/>
  <c r="F15" i="68" s="1"/>
  <c r="F16" i="68" s="1"/>
  <c r="E372" i="68"/>
  <c r="E373" i="68" s="1"/>
  <c r="E374" i="68" s="1"/>
  <c r="E375" i="68" s="1"/>
  <c r="E376" i="68" s="1"/>
  <c r="E377" i="68" s="1"/>
  <c r="E378" i="68" s="1"/>
  <c r="E379" i="68" s="1"/>
  <c r="E380" i="68" s="1"/>
  <c r="E332" i="68"/>
  <c r="E333" i="68" s="1"/>
  <c r="E334" i="68" s="1"/>
  <c r="E335" i="68" s="1"/>
  <c r="E336" i="68" s="1"/>
  <c r="E337" i="68" s="1"/>
  <c r="E338" i="68" s="1"/>
  <c r="E339" i="68" s="1"/>
  <c r="E340" i="68" s="1"/>
  <c r="E291" i="68"/>
  <c r="E292" i="68" s="1"/>
  <c r="E293" i="68" s="1"/>
  <c r="E294" i="68" s="1"/>
  <c r="E295" i="68" s="1"/>
  <c r="E296" i="68" s="1"/>
  <c r="E297" i="68" s="1"/>
  <c r="E298" i="68" s="1"/>
  <c r="E299" i="68" s="1"/>
  <c r="E66" i="68"/>
  <c r="E67" i="68" s="1"/>
  <c r="E68" i="68" s="1"/>
  <c r="E69" i="68" s="1"/>
  <c r="E70" i="68" s="1"/>
  <c r="E71" i="68" s="1"/>
  <c r="E72" i="68" s="1"/>
  <c r="E73" i="68" s="1"/>
  <c r="E74" i="68" s="1"/>
  <c r="E75" i="68" s="1"/>
  <c r="E28" i="68"/>
  <c r="E29" i="68" s="1"/>
  <c r="E30" i="68" s="1"/>
  <c r="E31" i="68" s="1"/>
  <c r="E32" i="68" s="1"/>
  <c r="E33" i="68" s="1"/>
  <c r="E34" i="68" s="1"/>
  <c r="E35" i="68" s="1"/>
  <c r="E36" i="68" s="1"/>
  <c r="E37" i="68" s="1"/>
  <c r="E394" i="68"/>
  <c r="E395" i="68" s="1"/>
  <c r="E396" i="68" s="1"/>
  <c r="E397" i="68" s="1"/>
  <c r="E398" i="68" s="1"/>
  <c r="E399" i="68" s="1"/>
  <c r="E400" i="68" s="1"/>
  <c r="E401" i="68" s="1"/>
  <c r="E402" i="68" s="1"/>
  <c r="E189" i="68"/>
  <c r="E190" i="68" s="1"/>
  <c r="E191" i="68" s="1"/>
  <c r="E192" i="68" s="1"/>
  <c r="E193" i="68" s="1"/>
  <c r="E194" i="68" s="1"/>
  <c r="E195" i="68" s="1"/>
  <c r="E196" i="68" s="1"/>
  <c r="E197" i="68" s="1"/>
  <c r="E198" i="68" s="1"/>
  <c r="V147" i="69"/>
  <c r="V86" i="69"/>
  <c r="V24" i="69"/>
  <c r="V106" i="69"/>
  <c r="V44" i="69"/>
  <c r="V65" i="69"/>
  <c r="V7" i="69"/>
  <c r="V168" i="69"/>
  <c r="V210" i="69"/>
  <c r="V230" i="69"/>
  <c r="V188" i="69"/>
  <c r="V127" i="69"/>
  <c r="V252" i="69"/>
  <c r="V44" i="68"/>
  <c r="V7" i="68"/>
  <c r="V434" i="68"/>
  <c r="V372" i="68"/>
  <c r="V188" i="68"/>
  <c r="V290" i="68"/>
  <c r="V474" i="68"/>
  <c r="V230" i="68"/>
  <c r="V455" i="68"/>
  <c r="V393" i="68"/>
  <c r="V249" i="68"/>
  <c r="V167" i="68"/>
  <c r="V331" i="68"/>
  <c r="V352" i="68"/>
  <c r="V106" i="68"/>
  <c r="V126" i="68"/>
  <c r="V146" i="68"/>
  <c r="V209" i="68"/>
  <c r="V24" i="68"/>
  <c r="V516" i="68"/>
  <c r="V538" i="68"/>
  <c r="V270" i="68"/>
  <c r="V414" i="68"/>
  <c r="V311" i="68"/>
  <c r="V85" i="68"/>
  <c r="V495" i="68"/>
  <c r="V65" i="68"/>
  <c r="G9" i="68"/>
  <c r="D7" i="68"/>
  <c r="G7" i="68" s="1"/>
  <c r="I3" i="41"/>
  <c r="G3" i="41"/>
  <c r="BA9" i="44"/>
  <c r="BA7" i="44"/>
  <c r="BA12" i="44"/>
  <c r="E3" i="69" l="1"/>
  <c r="E3" i="68"/>
  <c r="I9" i="68" s="1"/>
  <c r="F3" i="69"/>
  <c r="F3" i="68"/>
  <c r="H9" i="68" l="1"/>
  <c r="V9" i="68"/>
  <c r="H7" i="68"/>
  <c r="I7" i="68"/>
  <c r="J86" i="68"/>
  <c r="J147" i="68"/>
  <c r="J270" i="68"/>
  <c r="J6" i="68"/>
  <c r="J126" i="68"/>
  <c r="J106" i="68"/>
  <c r="J168" i="68"/>
  <c r="J273" i="68"/>
  <c r="J134" i="68"/>
  <c r="J170" i="68"/>
  <c r="J176" i="68"/>
  <c r="J151" i="68"/>
  <c r="J132" i="68"/>
  <c r="J115" i="68"/>
  <c r="J277" i="68"/>
  <c r="J110" i="68"/>
  <c r="J90" i="68"/>
  <c r="J94" i="68"/>
  <c r="J74" i="68"/>
  <c r="J72" i="68"/>
  <c r="J73" i="68"/>
  <c r="J278" i="68"/>
  <c r="J290" i="68"/>
  <c r="J128" i="68"/>
  <c r="J114" i="68"/>
  <c r="J93" i="68"/>
  <c r="J75" i="68"/>
  <c r="J92" i="68"/>
  <c r="J112" i="68"/>
  <c r="J96" i="68"/>
  <c r="J275" i="68"/>
  <c r="J198" i="68"/>
  <c r="J171" i="68"/>
  <c r="J173" i="68"/>
  <c r="J133" i="68"/>
  <c r="J71" i="68"/>
  <c r="J172" i="68"/>
  <c r="J371" i="68"/>
  <c r="J279" i="68"/>
  <c r="J155" i="68"/>
  <c r="J130" i="68"/>
  <c r="J280" i="68"/>
  <c r="J175" i="68"/>
  <c r="J156" i="68"/>
  <c r="J154" i="68"/>
  <c r="J89" i="68"/>
  <c r="J68" i="68"/>
  <c r="J70" i="68"/>
  <c r="J69" i="68"/>
  <c r="J274" i="68"/>
  <c r="J116" i="68"/>
  <c r="J178" i="68"/>
  <c r="J276" i="68"/>
  <c r="J136" i="68"/>
  <c r="J157" i="68"/>
  <c r="J177" i="68"/>
  <c r="J153" i="68"/>
  <c r="J16" i="68"/>
  <c r="J111" i="68"/>
  <c r="J331" i="68"/>
  <c r="J150" i="68"/>
  <c r="J91" i="68"/>
  <c r="J393" i="68"/>
  <c r="J107" i="68"/>
  <c r="J169" i="68"/>
  <c r="J127" i="68"/>
  <c r="J129" i="68"/>
  <c r="J188" i="68"/>
  <c r="J148" i="68"/>
  <c r="J87" i="68"/>
  <c r="J65" i="68"/>
  <c r="J353" i="68"/>
  <c r="J135" i="68"/>
  <c r="J271" i="68"/>
  <c r="J174" i="68"/>
  <c r="J131" i="68"/>
  <c r="J88" i="68"/>
  <c r="J109" i="68"/>
  <c r="J95" i="68"/>
  <c r="J311" i="68"/>
  <c r="J152" i="68"/>
  <c r="J108" i="68"/>
  <c r="J113" i="68"/>
  <c r="J272" i="68"/>
  <c r="J149" i="68"/>
  <c r="J395" i="68"/>
  <c r="J400" i="68"/>
  <c r="J401" i="68"/>
  <c r="J357" i="68"/>
  <c r="J402" i="68"/>
  <c r="J361" i="68"/>
  <c r="J355" i="68"/>
  <c r="J396" i="68"/>
  <c r="J362" i="68"/>
  <c r="J356" i="68"/>
  <c r="J394" i="68"/>
  <c r="J398" i="68"/>
  <c r="J359" i="68"/>
  <c r="J360" i="68"/>
  <c r="J399" i="68"/>
  <c r="J397" i="68"/>
  <c r="J8" i="68"/>
  <c r="J358" i="68"/>
  <c r="J354" i="68"/>
  <c r="J296" i="68"/>
  <c r="J372" i="68"/>
  <c r="J189" i="68"/>
  <c r="J336" i="68"/>
  <c r="J380" i="68"/>
  <c r="J333" i="68"/>
  <c r="J313" i="68"/>
  <c r="J193" i="68"/>
  <c r="J294" i="68"/>
  <c r="J375" i="68"/>
  <c r="J192" i="68"/>
  <c r="J332" i="68"/>
  <c r="J312" i="68"/>
  <c r="J316" i="68"/>
  <c r="J190" i="68"/>
  <c r="J376" i="68"/>
  <c r="J314" i="68"/>
  <c r="J195" i="68"/>
  <c r="J319" i="68"/>
  <c r="J373" i="68"/>
  <c r="J297" i="68"/>
  <c r="J315" i="68"/>
  <c r="J340" i="68"/>
  <c r="J335" i="68"/>
  <c r="J66" i="68"/>
  <c r="J191" i="68"/>
  <c r="J339" i="68"/>
  <c r="J295" i="68"/>
  <c r="J194" i="68"/>
  <c r="J293" i="68"/>
  <c r="J291" i="68"/>
  <c r="J317" i="68"/>
  <c r="J196" i="68"/>
  <c r="J337" i="68"/>
  <c r="J334" i="68"/>
  <c r="J378" i="68"/>
  <c r="J374" i="68"/>
  <c r="J298" i="68"/>
  <c r="J197" i="68"/>
  <c r="J318" i="68"/>
  <c r="J338" i="68"/>
  <c r="J377" i="68"/>
  <c r="J299" i="68"/>
  <c r="J67" i="68"/>
  <c r="J320" i="68"/>
  <c r="J292" i="68"/>
  <c r="J379" i="68"/>
  <c r="J11" i="68"/>
  <c r="J10" i="68"/>
  <c r="J13" i="68"/>
  <c r="J14" i="68"/>
  <c r="J15" i="68"/>
  <c r="J12" i="68"/>
  <c r="J252" i="69"/>
  <c r="J258" i="69"/>
  <c r="J260" i="69"/>
  <c r="J262" i="69"/>
  <c r="J259" i="69"/>
  <c r="J256" i="69"/>
  <c r="J255" i="69"/>
  <c r="J261" i="69"/>
  <c r="J257" i="69"/>
  <c r="J253" i="69"/>
  <c r="J254" i="69"/>
  <c r="J9" i="68"/>
  <c r="H106" i="68"/>
  <c r="I168" i="68"/>
  <c r="I86" i="68"/>
  <c r="I147" i="68"/>
  <c r="H168" i="68"/>
  <c r="I270" i="68"/>
  <c r="I6" i="68"/>
  <c r="H86" i="68"/>
  <c r="I126" i="68"/>
  <c r="H147" i="68"/>
  <c r="H270" i="68"/>
  <c r="H6" i="68"/>
  <c r="H126" i="68"/>
  <c r="I106" i="68"/>
  <c r="H73" i="68"/>
  <c r="H94" i="68"/>
  <c r="H69" i="68"/>
  <c r="H114" i="68"/>
  <c r="H274" i="68"/>
  <c r="H275" i="68"/>
  <c r="I278" i="68"/>
  <c r="H177" i="68"/>
  <c r="I172" i="68"/>
  <c r="H176" i="68"/>
  <c r="I154" i="68"/>
  <c r="H155" i="68"/>
  <c r="H151" i="68"/>
  <c r="I151" i="68"/>
  <c r="H133" i="68"/>
  <c r="H131" i="68"/>
  <c r="I110" i="68"/>
  <c r="I94" i="68"/>
  <c r="H92" i="68"/>
  <c r="I92" i="68"/>
  <c r="I108" i="68"/>
  <c r="H108" i="68"/>
  <c r="H132" i="68"/>
  <c r="I132" i="68"/>
  <c r="I156" i="68"/>
  <c r="H170" i="68"/>
  <c r="I177" i="68"/>
  <c r="I178" i="68"/>
  <c r="I280" i="68"/>
  <c r="I73" i="68"/>
  <c r="I69" i="68"/>
  <c r="H279" i="68"/>
  <c r="H172" i="68"/>
  <c r="I176" i="68"/>
  <c r="H152" i="68"/>
  <c r="H74" i="68"/>
  <c r="H72" i="68"/>
  <c r="H88" i="68"/>
  <c r="H112" i="68"/>
  <c r="I131" i="68"/>
  <c r="I152" i="68"/>
  <c r="I174" i="68"/>
  <c r="I74" i="68"/>
  <c r="H134" i="68"/>
  <c r="H90" i="68"/>
  <c r="H75" i="68"/>
  <c r="H273" i="68"/>
  <c r="H154" i="68"/>
  <c r="I155" i="68"/>
  <c r="I134" i="68"/>
  <c r="H115" i="68"/>
  <c r="H68" i="68"/>
  <c r="H70" i="68"/>
  <c r="H96" i="68"/>
  <c r="H93" i="68"/>
  <c r="I112" i="68"/>
  <c r="H116" i="68"/>
  <c r="I136" i="68"/>
  <c r="H157" i="68"/>
  <c r="H178" i="68"/>
  <c r="H272" i="68"/>
  <c r="H280" i="68"/>
  <c r="I198" i="68"/>
  <c r="I72" i="68"/>
  <c r="I68" i="68"/>
  <c r="I275" i="68"/>
  <c r="I277" i="68"/>
  <c r="H175" i="68"/>
  <c r="I114" i="68"/>
  <c r="H89" i="68"/>
  <c r="I128" i="68"/>
  <c r="H174" i="68"/>
  <c r="I276" i="68"/>
  <c r="I279" i="68"/>
  <c r="H71" i="68"/>
  <c r="I115" i="68"/>
  <c r="H130" i="68"/>
  <c r="H277" i="68"/>
  <c r="I274" i="68"/>
  <c r="I273" i="68"/>
  <c r="H173" i="68"/>
  <c r="I175" i="68"/>
  <c r="I133" i="68"/>
  <c r="I90" i="68"/>
  <c r="I93" i="68"/>
  <c r="I88" i="68"/>
  <c r="I96" i="68"/>
  <c r="H128" i="68"/>
  <c r="H136" i="68"/>
  <c r="I173" i="68"/>
  <c r="I170" i="68"/>
  <c r="I272" i="68"/>
  <c r="I75" i="68"/>
  <c r="I71" i="68"/>
  <c r="H65" i="68"/>
  <c r="I130" i="68"/>
  <c r="H156" i="68"/>
  <c r="I116" i="68"/>
  <c r="I157" i="68"/>
  <c r="H276" i="68"/>
  <c r="I70" i="68"/>
  <c r="I16" i="68"/>
  <c r="I113" i="68"/>
  <c r="H135" i="68"/>
  <c r="H109" i="68"/>
  <c r="H87" i="68"/>
  <c r="H148" i="68"/>
  <c r="H150" i="68"/>
  <c r="H129" i="68"/>
  <c r="I95" i="68"/>
  <c r="I91" i="68"/>
  <c r="I188" i="68"/>
  <c r="I290" i="68"/>
  <c r="I371" i="68"/>
  <c r="I65" i="68"/>
  <c r="H290" i="68"/>
  <c r="H311" i="68"/>
  <c r="I171" i="68"/>
  <c r="I271" i="68"/>
  <c r="I135" i="68"/>
  <c r="H171" i="68"/>
  <c r="H278" i="68"/>
  <c r="I153" i="68"/>
  <c r="I148" i="68"/>
  <c r="I109" i="68"/>
  <c r="H95" i="68"/>
  <c r="H91" i="68"/>
  <c r="I331" i="68"/>
  <c r="H393" i="68"/>
  <c r="I353" i="68"/>
  <c r="I87" i="68"/>
  <c r="H111" i="68"/>
  <c r="H188" i="68"/>
  <c r="H371" i="68"/>
  <c r="I107" i="68"/>
  <c r="I89" i="68"/>
  <c r="H198" i="68"/>
  <c r="H153" i="68"/>
  <c r="I150" i="68"/>
  <c r="H127" i="68"/>
  <c r="I111" i="68"/>
  <c r="H16" i="68"/>
  <c r="I393" i="68"/>
  <c r="I311" i="68"/>
  <c r="H353" i="68"/>
  <c r="H331" i="68"/>
  <c r="H107" i="68"/>
  <c r="H271" i="68"/>
  <c r="I127" i="68"/>
  <c r="H113" i="68"/>
  <c r="H110" i="68"/>
  <c r="I129" i="68"/>
  <c r="H169" i="68"/>
  <c r="H149" i="68"/>
  <c r="I149" i="68"/>
  <c r="I169" i="68"/>
  <c r="H362" i="68"/>
  <c r="H359" i="68"/>
  <c r="I358" i="68"/>
  <c r="I356" i="68"/>
  <c r="H354" i="68"/>
  <c r="H360" i="68"/>
  <c r="I398" i="68"/>
  <c r="I399" i="68"/>
  <c r="I397" i="68"/>
  <c r="I355" i="68"/>
  <c r="I396" i="68"/>
  <c r="H394" i="68"/>
  <c r="H8" i="68"/>
  <c r="I357" i="68"/>
  <c r="H397" i="68"/>
  <c r="I354" i="68"/>
  <c r="I400" i="68"/>
  <c r="I360" i="68"/>
  <c r="H401" i="68"/>
  <c r="H398" i="68"/>
  <c r="H399" i="68"/>
  <c r="I361" i="68"/>
  <c r="I402" i="68"/>
  <c r="H355" i="68"/>
  <c r="H396" i="68"/>
  <c r="I362" i="68"/>
  <c r="I359" i="68"/>
  <c r="I395" i="68"/>
  <c r="H358" i="68"/>
  <c r="H400" i="68"/>
  <c r="I401" i="68"/>
  <c r="H357" i="68"/>
  <c r="H361" i="68"/>
  <c r="H402" i="68"/>
  <c r="I394" i="68"/>
  <c r="H395" i="68"/>
  <c r="H356" i="68"/>
  <c r="I8" i="68"/>
  <c r="H376" i="68"/>
  <c r="I317" i="68"/>
  <c r="H314" i="68"/>
  <c r="H195" i="68"/>
  <c r="I299" i="68"/>
  <c r="H337" i="68"/>
  <c r="I339" i="68"/>
  <c r="I378" i="68"/>
  <c r="I320" i="68"/>
  <c r="H298" i="68"/>
  <c r="I291" i="68"/>
  <c r="H315" i="68"/>
  <c r="I292" i="68"/>
  <c r="H197" i="68"/>
  <c r="H379" i="68"/>
  <c r="I318" i="68"/>
  <c r="I66" i="68"/>
  <c r="I335" i="68"/>
  <c r="H338" i="68"/>
  <c r="H296" i="68"/>
  <c r="I196" i="68"/>
  <c r="I372" i="68"/>
  <c r="I189" i="68"/>
  <c r="H299" i="68"/>
  <c r="H334" i="68"/>
  <c r="H336" i="68"/>
  <c r="H67" i="68"/>
  <c r="H380" i="68"/>
  <c r="I374" i="68"/>
  <c r="I298" i="68"/>
  <c r="I193" i="68"/>
  <c r="I332" i="68"/>
  <c r="H66" i="68"/>
  <c r="I377" i="68"/>
  <c r="H295" i="68"/>
  <c r="I316" i="68"/>
  <c r="H378" i="68"/>
  <c r="H333" i="68"/>
  <c r="I313" i="68"/>
  <c r="H375" i="68"/>
  <c r="H292" i="68"/>
  <c r="H318" i="68"/>
  <c r="H316" i="68"/>
  <c r="H373" i="68"/>
  <c r="H294" i="68"/>
  <c r="H194" i="68"/>
  <c r="I338" i="68"/>
  <c r="H190" i="68"/>
  <c r="I296" i="68"/>
  <c r="I191" i="68"/>
  <c r="H372" i="68"/>
  <c r="H189" i="68"/>
  <c r="I319" i="68"/>
  <c r="H339" i="68"/>
  <c r="I67" i="68"/>
  <c r="I373" i="68"/>
  <c r="H320" i="68"/>
  <c r="H291" i="68"/>
  <c r="I297" i="68"/>
  <c r="I315" i="68"/>
  <c r="H313" i="68"/>
  <c r="I294" i="68"/>
  <c r="H340" i="68"/>
  <c r="I375" i="68"/>
  <c r="H192" i="68"/>
  <c r="I295" i="68"/>
  <c r="H332" i="68"/>
  <c r="I379" i="68"/>
  <c r="I194" i="68"/>
  <c r="I312" i="68"/>
  <c r="H293" i="68"/>
  <c r="H335" i="68"/>
  <c r="I190" i="68"/>
  <c r="I376" i="68"/>
  <c r="H317" i="68"/>
  <c r="H196" i="68"/>
  <c r="H191" i="68"/>
  <c r="I314" i="68"/>
  <c r="I195" i="68"/>
  <c r="I337" i="68"/>
  <c r="H319" i="68"/>
  <c r="I334" i="68"/>
  <c r="I336" i="68"/>
  <c r="I380" i="68"/>
  <c r="H374" i="68"/>
  <c r="I333" i="68"/>
  <c r="H297" i="68"/>
  <c r="H193" i="68"/>
  <c r="I340" i="68"/>
  <c r="I192" i="68"/>
  <c r="I197" i="68"/>
  <c r="H312" i="68"/>
  <c r="I293" i="68"/>
  <c r="H377" i="68"/>
  <c r="H14" i="68"/>
  <c r="H12" i="68"/>
  <c r="I15" i="68"/>
  <c r="H13" i="68"/>
  <c r="I12" i="68"/>
  <c r="I11" i="68"/>
  <c r="I13" i="68"/>
  <c r="I10" i="68"/>
  <c r="H11" i="68"/>
  <c r="I14" i="68"/>
  <c r="H15" i="68"/>
  <c r="H10" i="68"/>
  <c r="J7" i="68"/>
  <c r="H252" i="69"/>
  <c r="I252" i="69"/>
  <c r="H258" i="69"/>
  <c r="I258" i="69"/>
  <c r="H262" i="69"/>
  <c r="I262" i="69"/>
  <c r="H255" i="69"/>
  <c r="H259" i="69"/>
  <c r="I259" i="69"/>
  <c r="H256" i="69"/>
  <c r="H260" i="69"/>
  <c r="I255" i="69"/>
  <c r="I260" i="69"/>
  <c r="H257" i="69"/>
  <c r="I256" i="69"/>
  <c r="H261" i="69"/>
  <c r="I253" i="69"/>
  <c r="I261" i="69"/>
  <c r="I257" i="69"/>
  <c r="H254" i="69"/>
  <c r="H253" i="69"/>
  <c r="I254" i="6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db_sanitarios v_avance_eess" description="Conexión a la consulta 'db_sanitarios v_avance_eess' en el libro." type="5" refreshedVersion="8" background="1" saveData="1">
    <dbPr connection="Provider=Microsoft.Mashup.OleDb.1;Data Source=$Workbook$;Location=db_sanitarios v_avance_eess;Extended Properties=&quot;&quot;" command="SELECT * FROM [db_sanitarios v_avance_eess]"/>
  </connection>
  <connection id="2" xr16:uid="{00000000-0015-0000-FFFF-FFFF01000000}" name="Consulta desde DATOS" type="1" refreshedVersion="4">
    <dbPr connection="CollatingSequence=ASCII;DBQ=C:\NOTISP\DBFS;DefaultDir=C:\NOTISP\DBFS;Deleted=1;Driver={Driver do Microsoft dBase (*.dbf)};DriverId=533;FIL=dBase 5.0;MaxBufferSize=2048;MaxScanRows=8;PageTimeout=600;SafeTransactions=0;Statistics=0;Threads=3;UID=admin;UserCommitSync=Yes;" command="SELECT noti_sp.ANO, noti_sp.SEMANA, noti_sp.DIAGNOSTIC, noti_sp.TIPO_DX, noti_sp.SUBREGION, noti_sp.UBIGEO, noti_sp.LOCALCOD, noti_sp.LOCALIDAD, noti_sp.APEPAT, noti_sp.APEMAT, noti_sp.NOMBRES, noti_sp.EDAD, noti_sp.TIPO_EDAD, noti_sp.SEXO, noti_sp.PROTEGIDO, noti_sp.FECHA_INI, noti_sp.FECHA_DEF, noti_sp.FECHA_NOT, noti_sp.FECHA_INV, noti_sp.SUB_REG_NT, noti_sp.RED, noti_sp.MICRORED, noti_sp.E_SALUD, noti_sp.SEMANA_NOT, noti_sp.AN_NOTIFIC, noti_sp.FECHA_ING, noti_sp.FICHA_INV, noti_sp.TIPO_NOTI, noti_sp.CLAVE, noti_sp.IMPORTADO, noti_sp.MIGRADO, noti_sp.VERIFICA, noti_sp.DNI, noti_sp.MUESTRA, noti_sp.HC, noti_sp.ESTADO, noti_sp.TIP_ZONA, noti_sp.COD_PAIS, noti_sp.TIPO_ID, noti_sp.DIRECCION_x000d__x000a_FROM noti_sp noti_sp"/>
  </connection>
  <connection id="3" xr16:uid="{00000000-0015-0000-FFFF-FFFF02000000}" name="Consulta desde PROD" type="1" refreshedVersion="4">
    <dbPr connection="CollatingSequence=ASCII;DBQ=C:\HIS\HISV4\REPORTES\PRODUCCION;DefaultDir=C:\HIS\HISV4\REPORTES\PRODUCCION;Deleted=1;Driver={Driver do Microsoft dBase (*.dbf)};DriverId=533;FIL=dBase 5.0;MaxBufferSize=2048;MaxScanRows=8;PageTimeout=600;SafeTransactions=0;Statistics=0;Threads=3;UID=admin;UserCommitSync=Yes;" command="SELECT HIS10114.COD_2000, PROFESIO.DESC_PROF, HIS10114.ANO, HIS10114.MES, HIS10114.NOM_LOTE, HIS10114.NUM_PAG, HIS10114.CODIF, HIS10114.COD_SERVSA, HIS10114.PLAZA, HIS10114.ESTA_PAG, HIS10114.TOT_REG, HIS10114.FLAGENVIO, HIS10114.MT, HIS10114.ST_x000d__x000a_FROM HIS10114 HIS10114, `C:\HIS\HISV4\REPORTES\PRODUCCION`\MSTRPERS.DBF MSTRPERS, `C:\HIS\HISV4\REPORTES\PRODUCCION`\PROFESIO.DBF PROFESIO_x000d__x000a_WHERE HIS10114.PLAZA = MSTRPERS.CODPSAL AND MSTRPERS.COD_PROF = PROFESIO.COD_PROF"/>
  </connection>
  <connection id="4" xr16:uid="{00000000-0015-0000-FFFF-FFFF03000000}" name="Consulta desde PRUDUCCION2014" type="1" refreshedVersion="4" saveData="1">
    <dbPr connection="CollatingSequence=ASCII;DBQ=C:\HIS\HISV4\REPORTES\PRODUCCION;DefaultDir=C:\HIS\HISV4\REPORTES\PRODUCCION;Deleted=1;Driver={Driver do Microsoft dBase (*.dbf)};DriverId=533;FIL=dBase 5.0;MaxBufferSize=2048;MaxScanRows=8;PageTimeout=600;SafeTransactions=0;Statistics=0;Threads=3;UID=admin;UserCommitSync=Yes;" command="SELECT HIS10114.COD_2000, MSTRPERS.NOMBRE, PROFESIO.DESC_PROF, HIS10114.ANO, HIS10114.MES, HIS10114.NOM_LOTE, HIS10114.NUM_PAG, HIS10114.CODIF, HIS10114.COD_SERVSA, HIS10114.PLAZA, HIS10114.ESTA_PAG, HIS10114.TOT_REG, HIS10114.FLAGENVIO, HIS10114.MT, HIS10114.ST_x000d__x000a_FROM HIS10114 HIS10114, MSTRPERS MSTRPERS, `C:\HIS\HISV4\REPORTES\PRODUCCION`\PROFESIO.DBF PROFESIO_x000d__x000a_WHERE HIS10114.PLAZA = MSTRPERS.CODPSAL AND MSTRPERS.COD_PROF = PROFESIO.COD_PROF"/>
  </connection>
</connections>
</file>

<file path=xl/sharedStrings.xml><?xml version="1.0" encoding="utf-8"?>
<sst xmlns="http://schemas.openxmlformats.org/spreadsheetml/2006/main" count="767" uniqueCount="377">
  <si>
    <t>ETAPA DE VIDA</t>
  </si>
  <si>
    <t>META</t>
  </si>
  <si>
    <t>ESTABLECIMIENTOS</t>
  </si>
  <si>
    <t>C.S. PUEBLO LIBRE</t>
  </si>
  <si>
    <t>P.S. MORROYACU</t>
  </si>
  <si>
    <t>P.S. SHIMPIYACU</t>
  </si>
  <si>
    <t>Nº</t>
  </si>
  <si>
    <t>ENERO</t>
  </si>
  <si>
    <t>CANCER</t>
  </si>
  <si>
    <t>% Mensual</t>
  </si>
  <si>
    <t>% Anu</t>
  </si>
  <si>
    <t>% Mens</t>
  </si>
  <si>
    <t>VERDE</t>
  </si>
  <si>
    <t>AMARILLO</t>
  </si>
  <si>
    <t>ROJO</t>
  </si>
  <si>
    <t>Mensual</t>
  </si>
  <si>
    <t>Anual</t>
  </si>
  <si>
    <t>BRECHA ANUAL</t>
  </si>
  <si>
    <t>ESTABLECIMIENTOS DE SALUD</t>
  </si>
  <si>
    <t>P.S. NUEVA HUANCABAMBA</t>
  </si>
  <si>
    <t>HOSP. APOYO I MOYOBAMBA</t>
  </si>
  <si>
    <t>C.S. LLUYLLUCUCHA</t>
  </si>
  <si>
    <t>P.S. MARONA</t>
  </si>
  <si>
    <t>P.S. QUILLOALLPA</t>
  </si>
  <si>
    <t>P.S. SUGLLAQUIRO</t>
  </si>
  <si>
    <t>P.S. TAHUISHCO</t>
  </si>
  <si>
    <t>P.S. SAN MATEO</t>
  </si>
  <si>
    <t>P.S. CORDILLERA ANDINA</t>
  </si>
  <si>
    <t>P.S. LA FLOR DE LA PRIMAVERA</t>
  </si>
  <si>
    <t>C.S. CALZADA</t>
  </si>
  <si>
    <t>P.S. OCHAME</t>
  </si>
  <si>
    <t>P.S. SANTA ROSA DE OROMINA</t>
  </si>
  <si>
    <t>P.S. SANTA ROSA BAJO TANGUMI</t>
  </si>
  <si>
    <t>C.S. JERILLO</t>
  </si>
  <si>
    <t>P.S. RAMIREZ</t>
  </si>
  <si>
    <t>C.S. LA HUARPIA</t>
  </si>
  <si>
    <t>C.S. ROQUE ALONSO DE ALVARADO</t>
  </si>
  <si>
    <t>P.S. ALAN GARCIA PEREZ</t>
  </si>
  <si>
    <t>P.S. PORVENIR DEL NORTE</t>
  </si>
  <si>
    <t>C.S. YANTALO</t>
  </si>
  <si>
    <t>P.S. BUENOS AIRES</t>
  </si>
  <si>
    <t>P.S. CAÑABRAVA</t>
  </si>
  <si>
    <t>P.S. LOS ANGELES</t>
  </si>
  <si>
    <t>C.S. HABANA</t>
  </si>
  <si>
    <t>C.S. SORITOR</t>
  </si>
  <si>
    <t>P.S. ALTO PERU</t>
  </si>
  <si>
    <t>P.S. ALTO SAN MARTIN</t>
  </si>
  <si>
    <t>P.S. JERICOB</t>
  </si>
  <si>
    <t>P.S. SAN MARCOS</t>
  </si>
  <si>
    <t>C.S. JEPELACIO</t>
  </si>
  <si>
    <t>P.S. CARRIZAL</t>
  </si>
  <si>
    <t>P.S. SHUCSHUYACU</t>
  </si>
  <si>
    <t>C.S. NUEVO SAN MIGUEL</t>
  </si>
  <si>
    <t>P.S. PACAYPITE</t>
  </si>
  <si>
    <t>RED MOYOBAMBA</t>
  </si>
  <si>
    <t>RED. MOYOBAMBA:</t>
  </si>
  <si>
    <t>MES DE EVALUACION</t>
  </si>
  <si>
    <t>Mes Inicio</t>
  </si>
  <si>
    <t>Mes Final</t>
  </si>
  <si>
    <t>Año</t>
  </si>
  <si>
    <t>ATENCIONES O ACTIVIDADES REALIZADAS</t>
  </si>
  <si>
    <t>MOYOBAMBA</t>
  </si>
  <si>
    <t>CALZADA</t>
  </si>
  <si>
    <t>JEPELACIO</t>
  </si>
  <si>
    <t>YANTALO</t>
  </si>
  <si>
    <t>SORITOR</t>
  </si>
  <si>
    <t>HABANA</t>
  </si>
  <si>
    <t>ROQUE</t>
  </si>
  <si>
    <t>RED</t>
  </si>
  <si>
    <t>JERILLO</t>
  </si>
  <si>
    <t>C.S. ROQUE</t>
  </si>
  <si>
    <t>META Actual</t>
  </si>
  <si>
    <t>META hasta el mes actual</t>
  </si>
  <si>
    <t>PUEBLO LIBRE</t>
  </si>
  <si>
    <t>P.S. EL CONDOR</t>
  </si>
  <si>
    <t>1-Gestante Atendida</t>
  </si>
  <si>
    <t>2-Gestante Precozmente Atendida</t>
  </si>
  <si>
    <t xml:space="preserve">3-Gestante Adolescente Atendida </t>
  </si>
  <si>
    <t>4-Gestante Adolescente Precozmente Atendida</t>
  </si>
  <si>
    <t>5-Gestante Controlada (6to control)</t>
  </si>
  <si>
    <t>6- Gestante Suplementada con Hierro (6)</t>
  </si>
  <si>
    <t>8-Puerperas Controladas</t>
  </si>
  <si>
    <t>9-Parejas protegidas con metodos de planificacion familiar</t>
  </si>
  <si>
    <t>MATERNO</t>
  </si>
  <si>
    <t>PLANIFICACION</t>
  </si>
  <si>
    <t>HOSP.HOSPITAL
  MOYOBAMBA</t>
  </si>
  <si>
    <t>P.S. CORDILLERA
 ANDINA</t>
  </si>
  <si>
    <t>P.S. LA FLOR DE 
LA PRIMAVERA</t>
  </si>
  <si>
    <t>P.S. ALTO SAN 
MARTIN</t>
  </si>
  <si>
    <t>P.S. NUEVO 
SAN MIGUEL</t>
  </si>
  <si>
    <t>P.S. ALAN
 GARCIA</t>
  </si>
  <si>
    <t>P.S. PORVENIR
 DEL NORTE</t>
  </si>
  <si>
    <t>P.S. SANTA ROSA
 DE OROMINA</t>
  </si>
  <si>
    <t>P.S. SANTA ROSA 
BAJO TANGUMI</t>
  </si>
  <si>
    <t>C.S. PUEBLO
 LIBRE</t>
  </si>
  <si>
    <t>P.S. NUEVA 
HUANCABAMBA</t>
  </si>
  <si>
    <t>HOSPITAL</t>
  </si>
  <si>
    <t>LLUILLUCUCHA</t>
  </si>
  <si>
    <t>&lt;</t>
  </si>
  <si>
    <t>&gt;=</t>
  </si>
  <si>
    <t xml:space="preserve">- POR MICROREDES : </t>
  </si>
  <si>
    <t>FUENTE: HISMINSA - Oficina de Gestión de la  Información Red. Moyobamba</t>
  </si>
  <si>
    <t>ITS/VIH</t>
  </si>
  <si>
    <t xml:space="preserve">1-Porcentaje de mujeres de 25 a 64 años de edad que se han realizado tamizaje  de papanicolaou </t>
  </si>
  <si>
    <t>2-Porcentaje de mujeres de 30 a 49 años de edad que se han realizado tamizaje para cuello uterino (Inspección Visual con Ácido Acético).</t>
  </si>
  <si>
    <t>3-Porcentaje de mujeres de 40 a 69 años de edad que se han realizado examen clínico de mamas</t>
  </si>
  <si>
    <t>1-PORCENTAJE DE ADULTOS Y JOVENES  QUE RECIBEN  CONSEJERIA  EN PREVENCION PARA TAMIZAJE  DE ITS Y VIH/SIDA</t>
  </si>
  <si>
    <t>2-PORCENTAJE DE ADULTOS Y JOVENES  QUE RECIBEN    TAMIZAJE  DE ITS Y VIH/SIDA</t>
  </si>
  <si>
    <t>EVAM</t>
  </si>
  <si>
    <t>DISCAPACIDAD</t>
  </si>
  <si>
    <t>EDUCA. PARA LA SALUD</t>
  </si>
  <si>
    <t>1-PERSONA ADULTO MAYOR DE 60 AÑOS A MAS CON VACUNA NEUMOCOCO</t>
  </si>
  <si>
    <t>2-PERSONA ADULTO MAYOR DE 60 AÑOS A MAS CON VACUNA INFLUENZA</t>
  </si>
  <si>
    <t>4-PERSONA CON DISCAPACIDAD CERTIFICADA EN ESTABLECIMIENTOS DE SALUD</t>
  </si>
  <si>
    <t>5-DOCENTES CAPACITADOS EN TEMA DE CANCER</t>
  </si>
  <si>
    <t>6-NIÑOS DE 3 A 17 AÑOS DESPARASITADOS</t>
  </si>
  <si>
    <t>7-NIÑAS DE 9 AÑOS QUE RECIBEN VACUNA DE VPH</t>
  </si>
  <si>
    <t>3-PERSONA ADULTO MAYOR DE 60 AÑOS  A MAS CON VALORACION CLINICA</t>
  </si>
  <si>
    <t>3-GESTANTE REACTIVO A SIFILIS</t>
  </si>
  <si>
    <t>4-PORCENTAJE  DE GESTANTES REACTIVAS  A SIFILIS RECIBEN TRATAMIENTO COMPLETO</t>
  </si>
  <si>
    <t>5-PORCENTAJE  DE CASOS  DE VIH-SIDA CONFIRMADOS</t>
  </si>
  <si>
    <t>%</t>
  </si>
  <si>
    <t>zoonosis</t>
  </si>
  <si>
    <t>1-PORCENTAJE DE LA TASA DE MORBILIDAD DE TUBERCULOSIS</t>
  </si>
  <si>
    <t>TBC</t>
  </si>
  <si>
    <t xml:space="preserve">2- ATENCIONES 15 A MAS </t>
  </si>
  <si>
    <t>3-SR IDENTIFICADOS / Nº DE ATENCIONES &gt;&lt; DE 15 AÑOS X100   (META PROGRAMADA META SINTOMATICOS RESPIRATORIOS - OTRAS DIRESA)</t>
  </si>
  <si>
    <t>4-CONTACTOS  CENSADO</t>
  </si>
  <si>
    <t>5-PORCENTAJE DE CONTACTOS  EXAMINADOS DE TBC ENTRE LOS CONTACTOS CENSADO</t>
  </si>
  <si>
    <t>6-PORCENTAJE DE CASOS DE TBC TAMIZADOS PARA VIH</t>
  </si>
  <si>
    <t>5-EVALUACION ORAL COMPLETA (D0150)</t>
  </si>
  <si>
    <t>2-TAMIZAJE PARA DETECCIÓN DE CATARATA MEDIANTE EXAMEN DE AGUDEZA VISUAL 50 AÑOS A MAS</t>
  </si>
  <si>
    <t>1-TAMIZAJE PARA DETECCIÓN DE ERRORES REFRACTIVOS EN NIÑOS (AS) DE 3 A 11 AÑOS</t>
  </si>
  <si>
    <t>3-TAMIZAJE A PERSONAS CON RIESGO DE GLAUCOMA  40 AÑOS A MAS</t>
  </si>
  <si>
    <t>SALUD OCULAR</t>
  </si>
  <si>
    <t>ODONTOLOGIA</t>
  </si>
  <si>
    <t>NO TRANSMISIBLES</t>
  </si>
  <si>
    <t xml:space="preserve">4-ATENCIÓN ESTOMATOLÓGICA PREVENTIVA </t>
  </si>
  <si>
    <t>6-NIÑOS Y NIÑAS DE 3 A 11 AÑOS CON ALTA BÁSICA ODONTOLÓGICA</t>
  </si>
  <si>
    <t>7-TRATAMIENTO Y CONTROL DE PERSONAS CON HIPERTENSIÓN ARTERIAL</t>
  </si>
  <si>
    <t>8-TRATAMIENTO Y CONTROL DE PERSONAS CON DIABETES MELLITUS</t>
  </si>
  <si>
    <t>9-VALORACIÓN CLÍNICA Y TAMIZAJE DE LABORATORIO DE  ENFERMEDADES CRÓNICAS NO TRANSMISIBLES</t>
  </si>
  <si>
    <t>1-TAMIZAJE PARA DETECTAR TRASTORNOS MENTALES (DEPRESIÓN, CONSUMO DE ALCOHOL Y CONDUCTA SUICIDA) EN GRUPOS DE RIESGO DE PERSONAS DE 18 AÑOS A MÁS.</t>
  </si>
  <si>
    <t>2-TAMIZAJE PARA DETECTAR VIOLENCIA FAMILIAR EN PERSONAS DE 18 AÑOS A MÁS.</t>
  </si>
  <si>
    <t>3-TAMIZAJE DETECTAR MALTRATO INFANTIL EN NIÑAS, NIÑOS Y ADOLESCENTES DE 0 A 17 AÑOS</t>
  </si>
  <si>
    <t>4-TRATAMIENTO EN VIOLENCIA FAMILIAR EN EL PRIMER NIVEL DE ATENCIÓN NO ESPECIALIZADO</t>
  </si>
  <si>
    <t>5-TRATAMIENTO DE NIÑAS, NIÑOS Y ADOLESCENTES AFECTADOS POR MALTRATO INFANTIL</t>
  </si>
  <si>
    <t>6-TRATAMIENTO AMBULATORIO DE NIÑOS Y NIÑAS DE 0 A 17 AÑOS CON TRASTORNOS DEL ESPECTRO AUTISTA</t>
  </si>
  <si>
    <t>7-TRATAMIENTO AMBULATORIO DE NIÑAS, NIÑOS Y ADOLESCENTES DE 0 DE 17 POR TRASTORNOS MENTALES Y DEL COMPORTAMIENTO</t>
  </si>
  <si>
    <t>8-TRATAMIENTO AMBULATORIO DE PERSONAS CON DEPRESION</t>
  </si>
  <si>
    <t>9-TRATAMIENTO AMBULATORIO DE PERSONAS CON CONDUCTA SUICIDA</t>
  </si>
  <si>
    <t>10-TRATAMIENTO AMBULATORIO DE PERSONAS CON ANSIEDAD</t>
  </si>
  <si>
    <t>12-SESIONES DE ENTRENAMIENTO EN HABILIDADES SOCIALES PARA NIÑAS Y NIÑOS</t>
  </si>
  <si>
    <t>13-MADRES, PADRES Y CUIDADORES/AS CON APOYO EN ESTRATEGIAS DE CRIANZA Y CONOCIMIENTOS SOBRE EL DESARROLLO INFANTIL</t>
  </si>
  <si>
    <t>SALUD MENTAL</t>
  </si>
  <si>
    <t>11-SESIONES DE ENTRENAMIENTO EN HABILIDADES SOCIALES PARA ADOLESCENTES</t>
  </si>
  <si>
    <t>1-ATENCION DE PERSONAS MORDIDAS</t>
  </si>
  <si>
    <t>2-PERSONAS MORDIDAS CONTROLADAS</t>
  </si>
  <si>
    <t xml:space="preserve">3-PERSONAS MORDIDAS QUE INICIAN TRATAMIENTO CON VACUNA ANTIRRABICA </t>
  </si>
  <si>
    <t>4-MUESTRAS CANINAS REMITIDAS AL LABORATORIO</t>
  </si>
  <si>
    <t>5-CANES VACUNADOS</t>
  </si>
  <si>
    <t>6-MUESTRAS POSITIVAS DE MURCIELAGOS HEMATOFAGOS</t>
  </si>
  <si>
    <t>7-ANIMAL MORDEDOR CONTROLADO</t>
  </si>
  <si>
    <t>8-CASOS DE RABIA CANINA</t>
  </si>
  <si>
    <t xml:space="preserve">META 
Anual </t>
  </si>
  <si>
    <t>4 Meses Atrás</t>
  </si>
  <si>
    <t>11. PORCENTAJE DE DESERCION VACUNA PENTAVALENTE EN MENORES DE 1 AÑO</t>
  </si>
  <si>
    <t>PORCENTAJE DE DESERCION VACUNA PENTAVALENTE EN MENORES DE 1 AÑO</t>
  </si>
  <si>
    <t>Niños 1ª Dosis Pentavalente</t>
  </si>
  <si>
    <t>Niños 3ª Dosis Pentavalente</t>
  </si>
  <si>
    <t>DEFICIENTE + 5%; -5%</t>
  </si>
  <si>
    <t>PROCESO 0 a + 4.99 , 0 a -4.99</t>
  </si>
  <si>
    <t>SIN DESERCION</t>
  </si>
  <si>
    <t>Proceso</t>
  </si>
  <si>
    <t>Optimo</t>
  </si>
  <si>
    <t>Deficiente</t>
  </si>
  <si>
    <t>12. PORCENTAJE DE DESERCION VACUNA NEUMOCOCO EN MENORES DE 1 AÑO</t>
  </si>
  <si>
    <t>Niños 1ª Neumococo</t>
  </si>
  <si>
    <t>Niños 2ª Neumococo</t>
  </si>
  <si>
    <t>PORCENTAJE DE DESERCION VACUNA NEUMOCOCO EN MENORES DE 1 AÑO</t>
  </si>
  <si>
    <t xml:space="preserve">13. PORCENTAJE DE DESERCION VACUNA DPT DE 1 AÑO </t>
  </si>
  <si>
    <t xml:space="preserve">PORCENTAJE DE DESERCION VACUNA 1 Ref. DPT DE 1 AÑO </t>
  </si>
  <si>
    <t xml:space="preserve">Niños 1ª Dosis Penta 2 Meses. </t>
  </si>
  <si>
    <t>Niños con DPT .18 Meses</t>
  </si>
  <si>
    <t>15. NIÑOS DE &lt; 1 AÑOS CONTROLADOS CRED</t>
  </si>
  <si>
    <t>Niños 
Contr. 
2018</t>
  </si>
  <si>
    <t>16. NIÑOS DE  1 AÑO CONTROLADOS CRED</t>
  </si>
  <si>
    <t>17. NIÑOS DE  2 AÑO CONTROLADOS CRED</t>
  </si>
  <si>
    <t>18. NIÑOS DE  3 AÑO CONTROLADOS CRED</t>
  </si>
  <si>
    <t>19. NIÑOS DE  4 AÑO CONTROLADOS CRED</t>
  </si>
  <si>
    <t>20. NIÑOS DE  5-11 AÑO CONTROLADOS CRED</t>
  </si>
  <si>
    <t>21. CASOS DE EDAS EN MENORES DE 5 AÑOS</t>
  </si>
  <si>
    <t>Pob. Suj</t>
  </si>
  <si>
    <t>Pob. Actual</t>
  </si>
  <si>
    <t>Total Casos EDA</t>
  </si>
  <si>
    <t>Limite 10 %</t>
  </si>
  <si>
    <t>SIN EDAS</t>
  </si>
  <si>
    <t>en PROCESO</t>
  </si>
  <si>
    <t>ALERTA</t>
  </si>
  <si>
    <t>22. CASOS DE EDAS COMPLICADAS EN MENORES DE 5 AÑOS</t>
  </si>
  <si>
    <t>Casos EDA complicada &lt; 5años</t>
  </si>
  <si>
    <t>Limite 5 %</t>
  </si>
  <si>
    <t>23. CASOS DE NEUMONIAS EN MENORES DE 5 AÑOS</t>
  </si>
  <si>
    <t>Total Casos Neumonias</t>
  </si>
  <si>
    <t>SIN CASOS</t>
  </si>
  <si>
    <t>24. CASOS DE NEUMONIAS COMPLICADAS EN MENORES DE 5 AÑOS</t>
  </si>
  <si>
    <t>CASOS DE NEUMONIAS COMPLICADAS EN MENORES DE 5 AÑOS</t>
  </si>
  <si>
    <t>Neumonias complicadas</t>
  </si>
  <si>
    <t>SIN CASOS = 0</t>
  </si>
  <si>
    <t>25. SEGUIMIENTO DE CASOS DE NEUMONIAS &lt; 5 AÑOS</t>
  </si>
  <si>
    <t>Neumonias con Seguimiento</t>
  </si>
  <si>
    <t>SEGUIMIENTO DE CASOS DE NEUMONIAS &lt; 5 AÑOS</t>
  </si>
  <si>
    <t>24. PROPORCION DE RECIEN NACIDOS CON BAJO PESO AL NACER</t>
  </si>
  <si>
    <t>RECIEN NACIDOS CON BAJO PESO AL NACER / TOTAL DE RN</t>
  </si>
  <si>
    <t>Total RN CNV</t>
  </si>
  <si>
    <t>RN con bajo peso al nacer</t>
  </si>
  <si>
    <t>FUENTE: Certificado de nacido vivo (CNV)</t>
  </si>
  <si>
    <t>25. PROPORCION DE RECIEN NACIDOS PREMATUROS (&lt;37 SEMANAS)</t>
  </si>
  <si>
    <t xml:space="preserve">CNV Total RN </t>
  </si>
  <si>
    <t>RN Prematuro &lt;37 S.</t>
  </si>
  <si>
    <t>RECIEN NACIDOS PREMATUROS (&lt;37 SEMANAS)/ TOTAL DE RN</t>
  </si>
  <si>
    <t>Pob. Anual</t>
  </si>
  <si>
    <t>Pob. Sujeta</t>
  </si>
  <si>
    <t>% SIEN</t>
  </si>
  <si>
    <t>% HIS</t>
  </si>
  <si>
    <t>Regional</t>
  </si>
  <si>
    <t>DCI</t>
  </si>
  <si>
    <t>Nacional</t>
  </si>
  <si>
    <t>META Nac. 2019</t>
  </si>
  <si>
    <t>Anemia</t>
  </si>
  <si>
    <t>META Mensual</t>
  </si>
  <si>
    <t>META mes Actual</t>
  </si>
  <si>
    <t>BRECHA</t>
  </si>
  <si>
    <t>META 2019</t>
  </si>
  <si>
    <t>RECIEN NACIDO  CON DOS  CONTROLES CRED</t>
  </si>
  <si>
    <t>% DE RECIEN NACIDOS CON BAJO PESO AL NACER</t>
  </si>
  <si>
    <t>% DE RECIEN NACIDOS CON PREMATURIDAD</t>
  </si>
  <si>
    <t>NIÑO &lt;1 AÑO CON 2 ROTAVIRUS Y 2 NEUMOCOCO</t>
  </si>
  <si>
    <t>NIÑO &lt;1 AÑO CON 3 PENTAVALENTE Y 3 ANTIPOLIO</t>
  </si>
  <si>
    <t>NIÑO 1 AÑO CON 3 NEUMOCOCO Y 1 SPR</t>
  </si>
  <si>
    <t>NIÑO &gt; 1 AÑO CON 2°SPR,1°REF DPT Y 1°REF APO</t>
  </si>
  <si>
    <t>NIÑOS MENORES DE UN AÑO  ( 6 A 11 MESES) CON  SUPLEMENTO DE VITAMINA A</t>
  </si>
  <si>
    <t xml:space="preserve">NIÑOS  DE 12 A 59 MESES CON  SUPLEMENTO DE VITAMINA A  </t>
  </si>
  <si>
    <t>NIÑO MENOR DE 5 AÑOS CON SUPLEMENTO DE VITAMINA A</t>
  </si>
  <si>
    <t>NIÑOS DE 6 A 11 MESES DE EDAD CON DOSAJE DE HEMOGLOBINA</t>
  </si>
  <si>
    <t>NIÑOS DE 12 A 23 MESES DE EDAD CON DOSAJE DE HEMOGLOBINA</t>
  </si>
  <si>
    <t>NIÑOS DE 24 A 35 MESES DE EDAD CON DOSAJE DE HEMOGLOBINA</t>
  </si>
  <si>
    <t>NIÑOS DE 6 A 35 MESES DE EDAD CON DOSAJE DE HEMOGLOBINA</t>
  </si>
  <si>
    <t>NUTRICIÓN</t>
  </si>
  <si>
    <t>NIÑO</t>
  </si>
  <si>
    <t>RN C/2 CRED</t>
  </si>
  <si>
    <t>Negativo</t>
  </si>
  <si>
    <t>RN con Bajo Peso</t>
  </si>
  <si>
    <t>RN Prematuro</t>
  </si>
  <si>
    <t>NIÑO  &lt; 1 AÑO CON CRED    COMPLETO PARA SU EDAD</t>
  </si>
  <si>
    <t>NIÑOS MENORES DE 36 MESES CON CONTROLES CRED COMPLETO  PARA SU EDAD</t>
  </si>
  <si>
    <t>PORCENTAJE DE NIÑAS Y NIÑOS RECIEN NACIDOS DE PARTO INSTITUCIONALQUE RECIBEN VACUNAS COMPLETAS ANTES DEL ALTA</t>
  </si>
  <si>
    <t xml:space="preserve"> NIÑO DE 4 AÑOS CON 2DO REFUERZO DE DPT Y 2DO REFUERZO DE APO</t>
  </si>
  <si>
    <t xml:space="preserve"> PROPORCIÓN DE NIÑOS  MENORES DE 5 AÑOS  DE EDAD CON DCI </t>
  </si>
  <si>
    <t>PROPORCIÓN DE NIÑOS DE 6 A 35 MESES  DE EDAD CON AMENIA</t>
  </si>
  <si>
    <t>NIÑOS DE 4 MESES QUE  INICIAN SUMPLEMENTACIÓN CON HIERRO EN GOTAS</t>
  </si>
  <si>
    <t>NIÑOS MENORES DE 12 MESES DE EDAD CON SUPLEMENTO DE HIERRO Y OTROS MICRONUTRIENTES</t>
  </si>
  <si>
    <t>NIÑOS  DE 24 MESES DE EDAD CON SUPLEMENTO DE HIERRO Y OTROS MICRONUTRIENTES</t>
  </si>
  <si>
    <t>NIÑOS MENORES DE 36 MESES DE EDAD CON SUPLEMENTO DE HIERRO Y OTROS MICRONUTRIENTES</t>
  </si>
  <si>
    <t xml:space="preserve">   </t>
  </si>
  <si>
    <t>CRED Completo</t>
  </si>
  <si>
    <t xml:space="preserve">RN con HVB y BCG </t>
  </si>
  <si>
    <t>2° Ref DPT y APO</t>
  </si>
  <si>
    <t>1SPR, 1° Ref DPT y APO</t>
  </si>
  <si>
    <t>3ra Neumo SPR 1</t>
  </si>
  <si>
    <r>
      <t>3</t>
    </r>
    <r>
      <rPr>
        <sz val="10"/>
        <rFont val="Calibri"/>
        <family val="2"/>
      </rPr>
      <t>ªͬ Penta 3ªͬ Apo</t>
    </r>
  </si>
  <si>
    <r>
      <t>2</t>
    </r>
    <r>
      <rPr>
        <sz val="10"/>
        <rFont val="Calibri"/>
        <family val="2"/>
      </rPr>
      <t>ª</t>
    </r>
    <r>
      <rPr>
        <sz val="8"/>
        <rFont val="Arial Narrow"/>
        <family val="2"/>
      </rPr>
      <t xml:space="preserve"> Rota   2ª Neumo</t>
    </r>
  </si>
  <si>
    <t>META Nac. 2021</t>
  </si>
  <si>
    <t>DCI. HIS</t>
  </si>
  <si>
    <t>Anemia HIS</t>
  </si>
  <si>
    <t>Meta. Anual</t>
  </si>
  <si>
    <t>Inicio Sup</t>
  </si>
  <si>
    <t>6 - 35 M con Dzj de HB</t>
  </si>
  <si>
    <t>24 - 35 M con Dzj de HB</t>
  </si>
  <si>
    <t>12 - 23 M con Dzj de HB</t>
  </si>
  <si>
    <t>6 - 11 M con Dzj de HB</t>
  </si>
  <si>
    <t>&lt; 5 Años Vitamina A</t>
  </si>
  <si>
    <t>12 - 59 M Vitamina A</t>
  </si>
  <si>
    <t>6 - 11 M Vitamina A</t>
  </si>
  <si>
    <t>&lt; 36 M Sup Hierro</t>
  </si>
  <si>
    <t>24 - 35 M Sup Hierro</t>
  </si>
  <si>
    <t>12 M Sup Hierro (TA)</t>
  </si>
  <si>
    <t xml:space="preserve">7-Gestante Con Atención Odontologica </t>
  </si>
  <si>
    <t>METAXENICAS</t>
  </si>
  <si>
    <t>SESION DEMOSTRATIVA DE ALIMENTOS ANIÑOS (AS) DE 6 A 11 MESES (EE.SS)</t>
  </si>
  <si>
    <t>PROMSA</t>
  </si>
  <si>
    <t>SESION DEMOSTRATIVA DE ALIMENTOS A NIÑOS (AS) DE 6 A 11 MESES (EE.SS) NIÑOS QUE CUMPLEN 364 DIAS (PADRON NOMINAL)</t>
  </si>
  <si>
    <t xml:space="preserve">SESIONES DEMOSTRATIVAS DE ALIMENTOS EN NIÑOS (AS) DE 6 A 11 MESES </t>
  </si>
  <si>
    <t xml:space="preserve">GESTANTES QUE RECIBEN SESION DEMOSTRATIVA DE ALIMENTOS - (EE.SS) - </t>
  </si>
  <si>
    <t>GESTANTES QUE RECIBEN SESION DEMOSTRATIVA DE ALIMENTOS - (EE.SS) - GESTANTES ATENDIDAS EN EL MES</t>
  </si>
  <si>
    <t>AGENTES COMUNITARIO DE SALUD CAPACITADOS PARA LA PROMOCIÓN DEL CUIDADO INFANTIL, LACTANCIA MATERNA EXCLUSIVA Y LA ADECUADA ALIMENTACIÓN Y PROTECCIÓN DEL MENOR DE 36 MESES (EE.SS)</t>
  </si>
  <si>
    <t>GESTANTES CON ATENCIONES EN EL SEGUNDO TRIMESTRE</t>
  </si>
  <si>
    <t>GESTANTES QUE RECIBEN PRIMERA CONSEJERIA A TRAVES DE LA VISITA DOMICILIARIA EN EL II TRIM</t>
  </si>
  <si>
    <t>GESTANTES CON ATENCIONES EN EL III TRIMESTRE</t>
  </si>
  <si>
    <t>GESTANTES QUE RECIBEN SEGUNDA CONSEJERIA A TRAVES DE LA VISITA DOMICILIARIA EN EL III TRIM</t>
  </si>
  <si>
    <t>GESTANTES QUE RECIBEN SEGUNDA CONSEJERIA A TRAVES DE LA TELEORIENTACION EN EL III TRIM</t>
  </si>
  <si>
    <t>AGENTES COMUNITARIO DE SALUD CAPACITADOS PARA PROMOVER LA SALUD SEXUAL Y REPRODUCTIVA (EE.SS)</t>
  </si>
  <si>
    <t>CONSEJERIA INTEGRAL A TRAVES DE VISITA DOMICILIARIAA NIÑOS (AS) DE 6 A 11 MESES DE EDAD CON DX. ANEMIA</t>
  </si>
  <si>
    <t xml:space="preserve">NIÑOS DE 1 A 2 AÑOS  CON DIAGNOSTICO DE ANEMIA </t>
  </si>
  <si>
    <t xml:space="preserve">NIÑOS DE 6 A 11 MESES CON DIAGNOSTICO DE ANEMIA </t>
  </si>
  <si>
    <t>CONSEJERIA INTEGRAL A TRAVES DE VISITA DOMICILIARIAA NIÑOS (AS) DE 1 A 2 AÑOS DE EDAD CON DX. ANEMIA</t>
  </si>
  <si>
    <t>SALUD COLECTIVA</t>
  </si>
  <si>
    <t>MR</t>
  </si>
  <si>
    <t>6-PERSONAS CON DIAGNOSTICO DE INFECCIÓN DE TRANSMISIÓN SEXUAL (ITS)</t>
  </si>
  <si>
    <t>7-PERSONAS CON TRATAMIENTO DE INFECCIÓN DE TRANSMISIÓN SEXUAL (ITS)</t>
  </si>
  <si>
    <t>1-VIGILANCIA DE MANEJO DE RESIDUOS SOLIDOS HOSPITALARIOS (EE.SS)</t>
  </si>
  <si>
    <t>2-EVALUACION SANITARIA DE SISTEMAS DE ABASTECIMIENTO DE AGUA  - PVC</t>
  </si>
  <si>
    <t>3-MONITOREO DE PARAMETROS DE CAMPOS</t>
  </si>
  <si>
    <t>1-CASOS NUEVOS DE LEISHMANIASIS</t>
  </si>
  <si>
    <t>2-CASOS DE LEISHMANIASIS CON TRATAMIENTO COMPLETO</t>
  </si>
  <si>
    <t>3-VIVIENDA VIGILANCIA DE AEDES AEGYPTI, VECTOR DEL DENGUE Y LA FIEBRE AMARILLA (ENCUESTA ENTOMOLOGICA)</t>
  </si>
  <si>
    <t>4-VIVIENDAS PROTEGIDAS CON  CONTROL FOCAL DEL VECTOR DEL DENGUE EN LOCALIDADES PRIORIZADAS</t>
  </si>
  <si>
    <t xml:space="preserve"> FAMILIAS CON NIÑOS (AS) QUE RECIBEN 4 CONSEJERIAS A TRAVES DE LA VISITA DOMICILIARIA (EE.SS) (NIÑOS QUE CUMPLEN 364 DIAS (PADRON NOMINAL))</t>
  </si>
  <si>
    <t>CONSEJERÍA A TRAVES DE LA VISITA DOMICILIARIA DURANTE EL PERIODO GESTACIONAL (II Y III TRIM)</t>
  </si>
  <si>
    <t>CENTRO DE SALUD MENTAL COMUNITARIO MOYOBAMBA</t>
  </si>
  <si>
    <t>LA PRIMAVERA</t>
  </si>
  <si>
    <t>RENAES</t>
  </si>
  <si>
    <t>ESTABLECIMIENTO</t>
  </si>
  <si>
    <t>Rn2CRED</t>
  </si>
  <si>
    <t>RNbajopeso</t>
  </si>
  <si>
    <t>RnPrematuro</t>
  </si>
  <si>
    <t>Cred11</t>
  </si>
  <si>
    <t>Cred36M</t>
  </si>
  <si>
    <t>Vac_RN</t>
  </si>
  <si>
    <t>RotavNeumo2</t>
  </si>
  <si>
    <t>PentaApo3</t>
  </si>
  <si>
    <t>Neumo3_Spr1</t>
  </si>
  <si>
    <t>Spr2_RefDptApo1</t>
  </si>
  <si>
    <t>RefDptApo2</t>
  </si>
  <si>
    <t>ANEMIA</t>
  </si>
  <si>
    <t>Supl4Meses</t>
  </si>
  <si>
    <t>Supl12M</t>
  </si>
  <si>
    <t>Supl24M</t>
  </si>
  <si>
    <t>Sulp36M</t>
  </si>
  <si>
    <t>vA_6_11M</t>
  </si>
  <si>
    <t>vA_12_59M</t>
  </si>
  <si>
    <t>vA_menor5A</t>
  </si>
  <si>
    <t>HB_6_11M</t>
  </si>
  <si>
    <t>HB_12_23M</t>
  </si>
  <si>
    <t>HB_24_35M</t>
  </si>
  <si>
    <t>HB_6_35M</t>
  </si>
  <si>
    <t>HOSPITAL  MOYOBAMBA</t>
  </si>
  <si>
    <t>LLUYLLUCUCHA</t>
  </si>
  <si>
    <t>MARONA</t>
  </si>
  <si>
    <t>QUILLOALLPA</t>
  </si>
  <si>
    <t>SUGLLAQUIRO</t>
  </si>
  <si>
    <t>TAHUISHCO</t>
  </si>
  <si>
    <t>SAN MATEO</t>
  </si>
  <si>
    <t>CORDILLERA ANDINA</t>
  </si>
  <si>
    <t>LA FLOR DE LA PRIMAVERA</t>
  </si>
  <si>
    <t>EL CONDOR</t>
  </si>
  <si>
    <t>RAMIREZ</t>
  </si>
  <si>
    <t>LA HUARPIA</t>
  </si>
  <si>
    <t>BUENOS AIRES</t>
  </si>
  <si>
    <t>CAÑABRAVA</t>
  </si>
  <si>
    <t>LOS ANGELES</t>
  </si>
  <si>
    <t>ALTO PERU</t>
  </si>
  <si>
    <t>ALTO SAN MARTIN</t>
  </si>
  <si>
    <t>JERICOB</t>
  </si>
  <si>
    <t>SAN MARCOS</t>
  </si>
  <si>
    <t>CARRIZAL</t>
  </si>
  <si>
    <t>SHUCSHUYACU</t>
  </si>
  <si>
    <t>NUEVO SAN MIGUEL</t>
  </si>
  <si>
    <t>PACAYPITE</t>
  </si>
  <si>
    <t>ALAN GARCIA</t>
  </si>
  <si>
    <t>PORVENIR DEL NORTE</t>
  </si>
  <si>
    <t>OCHAME</t>
  </si>
  <si>
    <t>SANTA ROSA DE OROMINA</t>
  </si>
  <si>
    <t>SANTA ROSA BAJO TANGUMI</t>
  </si>
  <si>
    <t>MORROYACU</t>
  </si>
  <si>
    <t>SHIMPIYACU</t>
  </si>
  <si>
    <t>NUEVA HUANCABAMBA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</si>
</sst>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-[$€]* #,##0.00_-;\-[$€]* #,##0.00_-;_-[$€]* &quot;-&quot;??_-;_-@_-"/>
    <numFmt numFmtId="168" formatCode="_([$€]* #,##0.00_);_([$€]* \(#,##0.00\);_([$€]* &quot;-&quot;??_);_(@_)"/>
    <numFmt numFmtId="169" formatCode=";;;"/>
    <numFmt numFmtId="170" formatCode="_(* #,##0.00_);_(* \(#,##0.00\);_(* &quot;-&quot;_);_(@_)"/>
    <numFmt numFmtId="171" formatCode="_-* #,##0.00_-;\-* #,##0.00_-;_-* &quot;-&quot;_-;_-@_-"/>
  </numFmts>
  <fonts count="9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0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.5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name val="MS Sans Serif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  <font>
      <sz val="11"/>
      <name val="Tahoma"/>
      <family val="2"/>
    </font>
    <font>
      <sz val="11"/>
      <color rgb="FF000000"/>
      <name val="Calibri"/>
      <family val="2"/>
      <charset val="1"/>
    </font>
    <font>
      <b/>
      <sz val="36"/>
      <color theme="1"/>
      <name val="Gabriola"/>
      <family val="5"/>
    </font>
    <font>
      <b/>
      <sz val="45"/>
      <color theme="1"/>
      <name val="Gabriola"/>
      <family val="5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4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 Narrow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11"/>
      <name val="Arial Narrow"/>
      <family val="2"/>
    </font>
    <font>
      <sz val="9"/>
      <color rgb="FFC00000"/>
      <name val="Arial Narrow"/>
      <family val="2"/>
    </font>
    <font>
      <b/>
      <sz val="9"/>
      <color theme="8" tint="-0.499984740745262"/>
      <name val="Arial Narrow"/>
      <family val="2"/>
    </font>
    <font>
      <b/>
      <sz val="9"/>
      <color rgb="FFC00000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Calibri"/>
      <family val="2"/>
    </font>
    <font>
      <sz val="8"/>
      <name val="Arial Narrow"/>
      <family val="2"/>
    </font>
    <font>
      <b/>
      <sz val="11"/>
      <color rgb="FFFFC000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  <font>
      <b/>
      <i/>
      <sz val="10"/>
      <color rgb="FF2A02BE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FFC000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D71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59999389629810485"/>
        <bgColor theme="8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9CDE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EF1C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</borders>
  <cellStyleXfs count="182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5" fontId="3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21" fillId="0" borderId="0"/>
    <xf numFmtId="0" fontId="2" fillId="23" borderId="5" applyNumberFormat="0" applyFont="0" applyAlignment="0" applyProtection="0"/>
    <xf numFmtId="0" fontId="1" fillId="23" borderId="5" applyNumberFormat="0" applyFont="0" applyAlignment="0" applyProtection="0"/>
    <xf numFmtId="0" fontId="2" fillId="23" borderId="5" applyNumberFormat="0" applyFont="0" applyAlignment="0" applyProtection="0"/>
    <xf numFmtId="0" fontId="1" fillId="23" borderId="5" applyNumberFormat="0" applyFont="0" applyAlignment="0" applyProtection="0"/>
    <xf numFmtId="0" fontId="2" fillId="23" borderId="5" applyNumberFormat="0" applyFont="0" applyAlignment="0" applyProtection="0"/>
    <xf numFmtId="0" fontId="1" fillId="23" borderId="5" applyNumberFormat="0" applyFont="0" applyAlignment="0" applyProtection="0"/>
    <xf numFmtId="0" fontId="2" fillId="23" borderId="5" applyNumberFormat="0" applyFont="0" applyAlignment="0" applyProtection="0"/>
    <xf numFmtId="0" fontId="1" fillId="23" borderId="5" applyNumberFormat="0" applyFont="0" applyAlignment="0" applyProtection="0"/>
    <xf numFmtId="0" fontId="2" fillId="23" borderId="5" applyNumberFormat="0" applyFont="0" applyAlignment="0" applyProtection="0"/>
    <xf numFmtId="0" fontId="1" fillId="23" borderId="5" applyNumberFormat="0" applyFont="0" applyAlignment="0" applyProtection="0"/>
    <xf numFmtId="9" fontId="3" fillId="0" borderId="0" applyFont="0" applyFill="0" applyBorder="0" applyAlignment="0" applyProtection="0"/>
    <xf numFmtId="0" fontId="14" fillId="16" borderId="6" applyNumberFormat="0" applyAlignment="0" applyProtection="0"/>
    <xf numFmtId="0" fontId="14" fillId="16" borderId="6" applyNumberFormat="0" applyAlignment="0" applyProtection="0"/>
    <xf numFmtId="0" fontId="14" fillId="16" borderId="6" applyNumberFormat="0" applyAlignment="0" applyProtection="0"/>
    <xf numFmtId="0" fontId="14" fillId="16" borderId="6" applyNumberFormat="0" applyAlignment="0" applyProtection="0"/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" fillId="0" borderId="0" applyBorder="0"/>
    <xf numFmtId="168" fontId="3" fillId="0" borderId="0" applyFont="0" applyFill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9" fontId="21" fillId="0" borderId="0" applyFont="0" applyFill="0" applyBorder="0" applyAlignment="0" applyProtection="0"/>
    <xf numFmtId="0" fontId="47" fillId="0" borderId="0"/>
    <xf numFmtId="0" fontId="47" fillId="0" borderId="0" applyProtection="0"/>
    <xf numFmtId="2" fontId="47" fillId="0" borderId="0" applyProtection="0"/>
    <xf numFmtId="0" fontId="48" fillId="0" borderId="0" applyProtection="0"/>
    <xf numFmtId="0" fontId="49" fillId="0" borderId="0" applyProtection="0"/>
    <xf numFmtId="0" fontId="47" fillId="0" borderId="29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9" applyNumberFormat="0" applyFill="0" applyAlignment="0" applyProtection="0"/>
    <xf numFmtId="0" fontId="51" fillId="0" borderId="0"/>
    <xf numFmtId="0" fontId="52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1" fillId="0" borderId="0"/>
    <xf numFmtId="9" fontId="57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9" fillId="0" borderId="35" applyNumberFormat="0" applyFill="0" applyAlignment="0" applyProtection="0"/>
    <xf numFmtId="0" fontId="60" fillId="0" borderId="36" applyNumberFormat="0" applyFill="0" applyAlignment="0" applyProtection="0"/>
    <xf numFmtId="0" fontId="6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62" fillId="36" borderId="0" applyNumberFormat="0" applyBorder="0" applyAlignment="0" applyProtection="0"/>
    <xf numFmtId="0" fontId="63" fillId="37" borderId="0" applyNumberFormat="0" applyBorder="0" applyAlignment="0" applyProtection="0"/>
    <xf numFmtId="0" fontId="64" fillId="38" borderId="0" applyNumberFormat="0" applyBorder="0" applyAlignment="0" applyProtection="0"/>
    <xf numFmtId="0" fontId="65" fillId="39" borderId="37" applyNumberFormat="0" applyAlignment="0" applyProtection="0"/>
    <xf numFmtId="0" fontId="66" fillId="40" borderId="38" applyNumberFormat="0" applyAlignment="0" applyProtection="0"/>
    <xf numFmtId="0" fontId="67" fillId="40" borderId="37" applyNumberFormat="0" applyAlignment="0" applyProtection="0"/>
    <xf numFmtId="0" fontId="68" fillId="0" borderId="39" applyNumberFormat="0" applyFill="0" applyAlignment="0" applyProtection="0"/>
    <xf numFmtId="0" fontId="69" fillId="41" borderId="40" applyNumberFormat="0" applyAlignment="0" applyProtection="0"/>
    <xf numFmtId="0" fontId="46" fillId="0" borderId="0" applyNumberFormat="0" applyFill="0" applyBorder="0" applyAlignment="0" applyProtection="0"/>
    <xf numFmtId="0" fontId="21" fillId="42" borderId="41" applyNumberFormat="0" applyFont="0" applyAlignment="0" applyProtection="0"/>
    <xf numFmtId="0" fontId="70" fillId="0" borderId="0" applyNumberFormat="0" applyFill="0" applyBorder="0" applyAlignment="0" applyProtection="0"/>
    <xf numFmtId="0" fontId="22" fillId="0" borderId="42" applyNumberFormat="0" applyFill="0" applyAlignment="0" applyProtection="0"/>
    <xf numFmtId="0" fontId="24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/>
    <xf numFmtId="0" fontId="24" fillId="66" borderId="0" applyNumberFormat="0" applyBorder="0" applyAlignment="0" applyProtection="0"/>
    <xf numFmtId="0" fontId="7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72" fillId="0" borderId="0"/>
    <xf numFmtId="0" fontId="72" fillId="23" borderId="5" applyNumberFormat="0" applyFont="0" applyAlignment="0" applyProtection="0"/>
    <xf numFmtId="9" fontId="72" fillId="0" borderId="0" applyFont="0" applyFill="0" applyBorder="0" applyAlignment="0" applyProtection="0"/>
    <xf numFmtId="0" fontId="9" fillId="0" borderId="4" applyNumberFormat="0" applyFill="0" applyAlignment="0" applyProtection="0"/>
    <xf numFmtId="0" fontId="3" fillId="0" borderId="0"/>
    <xf numFmtId="0" fontId="2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9" fontId="21" fillId="0" borderId="0" applyFont="0" applyFill="0" applyBorder="0" applyAlignment="0" applyProtection="0"/>
  </cellStyleXfs>
  <cellXfs count="227">
    <xf numFmtId="0" fontId="0" fillId="0" borderId="0" xfId="0"/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2" fillId="0" borderId="0" xfId="0" applyFont="1"/>
    <xf numFmtId="1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Protection="1"/>
    <xf numFmtId="0" fontId="34" fillId="26" borderId="18" xfId="87" applyFont="1" applyFill="1" applyBorder="1" applyAlignment="1" applyProtection="1">
      <alignment horizontal="center" vertical="center" wrapText="1"/>
    </xf>
    <xf numFmtId="0" fontId="34" fillId="27" borderId="20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Border="1"/>
    <xf numFmtId="0" fontId="30" fillId="0" borderId="25" xfId="0" applyFont="1" applyBorder="1"/>
    <xf numFmtId="41" fontId="0" fillId="0" borderId="0" xfId="0" applyNumberFormat="1" applyAlignment="1">
      <alignment horizontal="center" vertical="center"/>
    </xf>
    <xf numFmtId="41" fontId="22" fillId="29" borderId="26" xfId="0" applyNumberFormat="1" applyFont="1" applyFill="1" applyBorder="1"/>
    <xf numFmtId="41" fontId="22" fillId="29" borderId="28" xfId="0" applyNumberFormat="1" applyFont="1" applyFill="1" applyBorder="1"/>
    <xf numFmtId="164" fontId="25" fillId="30" borderId="27" xfId="0" applyNumberFormat="1" applyFont="1" applyFill="1" applyBorder="1"/>
    <xf numFmtId="164" fontId="25" fillId="0" borderId="27" xfId="0" applyNumberFormat="1" applyFont="1" applyBorder="1"/>
    <xf numFmtId="169" fontId="0" fillId="0" borderId="0" xfId="0" applyNumberFormat="1"/>
    <xf numFmtId="0" fontId="24" fillId="0" borderId="0" xfId="0" applyFont="1" applyAlignment="1" applyProtection="1"/>
    <xf numFmtId="0" fontId="36" fillId="0" borderId="19" xfId="0" applyFont="1" applyBorder="1" applyAlignment="1" applyProtection="1">
      <alignment horizontal="center" vertical="center"/>
    </xf>
    <xf numFmtId="0" fontId="45" fillId="0" borderId="19" xfId="0" applyFont="1" applyBorder="1" applyAlignment="1" applyProtection="1">
      <alignment horizontal="center" vertical="center"/>
    </xf>
    <xf numFmtId="0" fontId="33" fillId="0" borderId="19" xfId="0" applyFont="1" applyBorder="1" applyAlignment="1" applyProtection="1">
      <alignment horizontal="center" vertical="center"/>
    </xf>
    <xf numFmtId="2" fontId="35" fillId="0" borderId="19" xfId="0" applyNumberFormat="1" applyFont="1" applyBorder="1" applyAlignment="1" applyProtection="1">
      <alignment horizontal="center" vertical="center"/>
    </xf>
    <xf numFmtId="0" fontId="35" fillId="0" borderId="19" xfId="0" applyFont="1" applyBorder="1" applyAlignment="1" applyProtection="1">
      <alignment horizontal="center" vertical="center"/>
    </xf>
    <xf numFmtId="0" fontId="0" fillId="0" borderId="22" xfId="0" applyBorder="1" applyProtection="1"/>
    <xf numFmtId="0" fontId="0" fillId="0" borderId="23" xfId="0" applyBorder="1" applyProtection="1"/>
    <xf numFmtId="0" fontId="22" fillId="0" borderId="0" xfId="0" applyFont="1" applyAlignment="1" applyProtection="1">
      <alignment horizontal="left" vertical="center"/>
    </xf>
    <xf numFmtId="0" fontId="34" fillId="28" borderId="20" xfId="0" applyFont="1" applyFill="1" applyBorder="1" applyAlignment="1" applyProtection="1">
      <alignment horizontal="center" vertical="center" wrapText="1"/>
    </xf>
    <xf numFmtId="0" fontId="40" fillId="0" borderId="19" xfId="0" applyFont="1" applyBorder="1" applyAlignment="1" applyProtection="1"/>
    <xf numFmtId="2" fontId="0" fillId="0" borderId="19" xfId="0" applyNumberFormat="1" applyFont="1" applyBorder="1" applyAlignment="1" applyProtection="1">
      <alignment horizontal="center" vertical="center"/>
    </xf>
    <xf numFmtId="0" fontId="35" fillId="0" borderId="19" xfId="0" applyFont="1" applyBorder="1" applyProtection="1"/>
    <xf numFmtId="0" fontId="0" fillId="0" borderId="19" xfId="0" applyBorder="1" applyAlignment="1" applyProtection="1">
      <alignment horizontal="center" vertical="center"/>
    </xf>
    <xf numFmtId="0" fontId="41" fillId="0" borderId="19" xfId="0" applyFont="1" applyBorder="1" applyProtection="1"/>
    <xf numFmtId="0" fontId="39" fillId="27" borderId="25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169" fontId="22" fillId="0" borderId="0" xfId="0" applyNumberFormat="1" applyFont="1"/>
    <xf numFmtId="0" fontId="31" fillId="33" borderId="30" xfId="0" applyFont="1" applyFill="1" applyBorder="1" applyAlignment="1" applyProtection="1">
      <alignment horizontal="right" vertical="center"/>
    </xf>
    <xf numFmtId="49" fontId="22" fillId="33" borderId="30" xfId="0" applyNumberFormat="1" applyFont="1" applyFill="1" applyBorder="1" applyAlignment="1" applyProtection="1">
      <alignment horizontal="center" vertical="center"/>
    </xf>
    <xf numFmtId="0" fontId="22" fillId="33" borderId="3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2" fillId="0" borderId="0" xfId="0" applyFont="1" applyAlignment="1" applyProtection="1">
      <alignment vertical="center"/>
    </xf>
    <xf numFmtId="0" fontId="46" fillId="0" borderId="0" xfId="0" applyFont="1" applyAlignment="1" applyProtection="1">
      <alignment horizontal="right"/>
    </xf>
    <xf numFmtId="49" fontId="0" fillId="0" borderId="0" xfId="0" applyNumberFormat="1" applyProtection="1"/>
    <xf numFmtId="0" fontId="37" fillId="0" borderId="0" xfId="0" applyFont="1" applyFill="1" applyAlignment="1" applyProtection="1"/>
    <xf numFmtId="0" fontId="22" fillId="0" borderId="0" xfId="0" applyFont="1" applyProtection="1"/>
    <xf numFmtId="0" fontId="23" fillId="0" borderId="0" xfId="0" applyFont="1" applyAlignment="1" applyProtection="1">
      <alignment horizontal="right"/>
    </xf>
    <xf numFmtId="49" fontId="22" fillId="0" borderId="0" xfId="0" applyNumberFormat="1" applyFont="1" applyProtection="1"/>
    <xf numFmtId="0" fontId="0" fillId="0" borderId="0" xfId="0"/>
    <xf numFmtId="0" fontId="22" fillId="0" borderId="11" xfId="0" applyFont="1" applyBorder="1" applyAlignment="1">
      <alignment horizontal="left" vertical="center"/>
    </xf>
    <xf numFmtId="1" fontId="22" fillId="0" borderId="11" xfId="0" applyNumberFormat="1" applyFont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0" fontId="22" fillId="0" borderId="0" xfId="0" applyNumberFormat="1" applyFont="1" applyAlignment="1" applyProtection="1">
      <alignment horizontal="center"/>
    </xf>
    <xf numFmtId="0" fontId="27" fillId="0" borderId="19" xfId="0" applyFont="1" applyBorder="1" applyAlignment="1" applyProtection="1">
      <alignment horizontal="center" vertical="center"/>
    </xf>
    <xf numFmtId="1" fontId="22" fillId="24" borderId="15" xfId="0" applyNumberFormat="1" applyFont="1" applyFill="1" applyBorder="1" applyAlignment="1">
      <alignment horizontal="center" vertical="center"/>
    </xf>
    <xf numFmtId="164" fontId="53" fillId="32" borderId="31" xfId="60" applyNumberFormat="1" applyFont="1" applyFill="1" applyBorder="1" applyAlignment="1" applyProtection="1">
      <alignment horizontal="left" vertical="center" wrapText="1"/>
    </xf>
    <xf numFmtId="164" fontId="53" fillId="32" borderId="33" xfId="60" applyNumberFormat="1" applyFont="1" applyFill="1" applyBorder="1" applyAlignment="1" applyProtection="1">
      <alignment horizontal="left" vertical="center" wrapText="1"/>
    </xf>
    <xf numFmtId="0" fontId="55" fillId="34" borderId="32" xfId="87" applyFont="1" applyFill="1" applyBorder="1" applyAlignment="1" applyProtection="1">
      <alignment horizontal="center" vertical="center" wrapText="1"/>
    </xf>
    <xf numFmtId="0" fontId="55" fillId="26" borderId="32" xfId="87" applyFont="1" applyFill="1" applyBorder="1" applyAlignment="1" applyProtection="1">
      <alignment horizontal="center" vertical="center" wrapText="1"/>
    </xf>
    <xf numFmtId="0" fontId="55" fillId="27" borderId="32" xfId="0" applyFont="1" applyFill="1" applyBorder="1" applyAlignment="1" applyProtection="1">
      <alignment horizontal="center" vertical="center" wrapText="1"/>
    </xf>
    <xf numFmtId="0" fontId="34" fillId="27" borderId="32" xfId="0" applyFont="1" applyFill="1" applyBorder="1" applyAlignment="1" applyProtection="1">
      <alignment horizontal="center" vertical="center" wrapText="1"/>
    </xf>
    <xf numFmtId="2" fontId="42" fillId="0" borderId="0" xfId="0" applyNumberFormat="1" applyFont="1" applyProtection="1"/>
    <xf numFmtId="2" fontId="22" fillId="0" borderId="0" xfId="0" applyNumberFormat="1" applyFont="1" applyAlignment="1">
      <alignment horizontal="center" vertical="center"/>
    </xf>
    <xf numFmtId="0" fontId="34" fillId="27" borderId="45" xfId="0" applyNumberFormat="1" applyFont="1" applyFill="1" applyBorder="1" applyAlignment="1" applyProtection="1">
      <alignment horizontal="center" vertical="center" wrapText="1"/>
    </xf>
    <xf numFmtId="0" fontId="27" fillId="0" borderId="19" xfId="0" applyFont="1" applyBorder="1" applyAlignment="1" applyProtection="1">
      <alignment vertical="center"/>
    </xf>
    <xf numFmtId="49" fontId="27" fillId="0" borderId="20" xfId="0" applyNumberFormat="1" applyFont="1" applyBorder="1" applyAlignment="1" applyProtection="1">
      <alignment vertical="center"/>
    </xf>
    <xf numFmtId="0" fontId="27" fillId="0" borderId="21" xfId="0" applyFont="1" applyBorder="1" applyAlignment="1" applyProtection="1">
      <alignment horizontal="left" vertical="center"/>
    </xf>
    <xf numFmtId="0" fontId="30" fillId="0" borderId="19" xfId="0" applyFont="1" applyFill="1" applyBorder="1" applyAlignment="1" applyProtection="1">
      <alignment horizontal="left" vertical="center"/>
    </xf>
    <xf numFmtId="0" fontId="7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5" fillId="0" borderId="0" xfId="0" applyFont="1" applyAlignment="1" applyProtection="1">
      <alignment horizontal="center" vertical="center"/>
    </xf>
    <xf numFmtId="0" fontId="69" fillId="0" borderId="0" xfId="0" applyFont="1" applyAlignment="1" applyProtection="1">
      <alignment horizontal="center" vertical="center"/>
    </xf>
    <xf numFmtId="0" fontId="30" fillId="0" borderId="20" xfId="0" applyFont="1" applyFill="1" applyBorder="1" applyAlignment="1" applyProtection="1">
      <alignment horizontal="left" vertical="center"/>
    </xf>
    <xf numFmtId="164" fontId="56" fillId="35" borderId="31" xfId="0" applyNumberFormat="1" applyFont="1" applyFill="1" applyBorder="1" applyAlignment="1">
      <alignment horizontal="center" vertical="center"/>
    </xf>
    <xf numFmtId="166" fontId="35" fillId="0" borderId="19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left"/>
    </xf>
    <xf numFmtId="0" fontId="43" fillId="31" borderId="46" xfId="0" applyFont="1" applyFill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0" fontId="39" fillId="27" borderId="32" xfId="0" applyFont="1" applyFill="1" applyBorder="1" applyAlignment="1" applyProtection="1">
      <alignment horizontal="center" vertical="center" wrapText="1"/>
    </xf>
    <xf numFmtId="0" fontId="42" fillId="31" borderId="24" xfId="0" applyFont="1" applyFill="1" applyBorder="1"/>
    <xf numFmtId="0" fontId="77" fillId="0" borderId="24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41" fontId="44" fillId="31" borderId="16" xfId="0" applyNumberFormat="1" applyFont="1" applyFill="1" applyBorder="1"/>
    <xf numFmtId="41" fontId="44" fillId="0" borderId="16" xfId="0" applyNumberFormat="1" applyFont="1" applyBorder="1"/>
    <xf numFmtId="165" fontId="44" fillId="0" borderId="16" xfId="0" applyNumberFormat="1" applyFont="1" applyBorder="1"/>
    <xf numFmtId="0" fontId="0" fillId="0" borderId="16" xfId="0" applyBorder="1" applyAlignment="1">
      <alignment horizontal="center" vertical="center"/>
    </xf>
    <xf numFmtId="0" fontId="76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3" fontId="0" fillId="0" borderId="16" xfId="0" applyNumberFormat="1" applyBorder="1" applyAlignment="1">
      <alignment wrapText="1"/>
    </xf>
    <xf numFmtId="0" fontId="0" fillId="0" borderId="16" xfId="0" applyBorder="1"/>
    <xf numFmtId="0" fontId="38" fillId="0" borderId="0" xfId="0" applyFont="1" applyFill="1" applyAlignment="1" applyProtection="1"/>
    <xf numFmtId="0" fontId="34" fillId="27" borderId="44" xfId="0" applyFont="1" applyFill="1" applyBorder="1" applyAlignment="1" applyProtection="1">
      <alignment vertical="center" wrapText="1"/>
    </xf>
    <xf numFmtId="0" fontId="0" fillId="0" borderId="0" xfId="0" applyAlignment="1" applyProtection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69" fontId="23" fillId="0" borderId="0" xfId="0" applyNumberFormat="1" applyFont="1" applyAlignment="1">
      <alignment horizontal="center" vertical="center"/>
    </xf>
    <xf numFmtId="169" fontId="24" fillId="0" borderId="0" xfId="0" applyNumberFormat="1" applyFont="1" applyAlignment="1">
      <alignment vertical="top"/>
    </xf>
    <xf numFmtId="169" fontId="0" fillId="0" borderId="0" xfId="0" applyNumberFormat="1" applyAlignment="1">
      <alignment vertical="top"/>
    </xf>
    <xf numFmtId="41" fontId="1" fillId="0" borderId="19" xfId="0" applyNumberFormat="1" applyFont="1" applyBorder="1" applyAlignment="1">
      <alignment horizontal="center" vertical="center"/>
    </xf>
    <xf numFmtId="171" fontId="1" fillId="0" borderId="19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0" fontId="0" fillId="0" borderId="0" xfId="0" applyNumberFormat="1"/>
    <xf numFmtId="166" fontId="0" fillId="0" borderId="0" xfId="0" applyNumberFormat="1"/>
    <xf numFmtId="0" fontId="53" fillId="0" borderId="0" xfId="0" applyFont="1" applyAlignment="1">
      <alignment vertical="center"/>
    </xf>
    <xf numFmtId="0" fontId="24" fillId="0" borderId="0" xfId="0" applyFont="1"/>
    <xf numFmtId="0" fontId="78" fillId="0" borderId="0" xfId="0" applyFont="1" applyAlignment="1">
      <alignment vertical="top"/>
    </xf>
    <xf numFmtId="0" fontId="79" fillId="0" borderId="19" xfId="0" applyFont="1" applyBorder="1" applyAlignment="1">
      <alignment horizontal="center" vertical="center"/>
    </xf>
    <xf numFmtId="0" fontId="80" fillId="0" borderId="19" xfId="0" applyFont="1" applyBorder="1" applyAlignment="1">
      <alignment horizontal="center" vertical="center" wrapText="1"/>
    </xf>
    <xf numFmtId="1" fontId="80" fillId="0" borderId="19" xfId="0" applyNumberFormat="1" applyFont="1" applyBorder="1" applyAlignment="1">
      <alignment horizontal="center" vertical="center" wrapText="1"/>
    </xf>
    <xf numFmtId="1" fontId="30" fillId="25" borderId="19" xfId="0" quotePrefix="1" applyNumberFormat="1" applyFont="1" applyFill="1" applyBorder="1" applyAlignment="1">
      <alignment horizontal="center" vertical="center" wrapText="1"/>
    </xf>
    <xf numFmtId="1" fontId="30" fillId="25" borderId="19" xfId="0" applyNumberFormat="1" applyFont="1" applyFill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22" fillId="67" borderId="15" xfId="0" applyFont="1" applyFill="1" applyBorder="1" applyAlignment="1">
      <alignment horizontal="center" vertical="center"/>
    </xf>
    <xf numFmtId="0" fontId="22" fillId="67" borderId="15" xfId="0" applyFont="1" applyFill="1" applyBorder="1" applyAlignment="1">
      <alignment horizontal="center" vertical="center" wrapText="1"/>
    </xf>
    <xf numFmtId="166" fontId="22" fillId="67" borderId="15" xfId="0" applyNumberFormat="1" applyFont="1" applyFill="1" applyBorder="1" applyAlignment="1">
      <alignment horizontal="center" vertical="center" wrapText="1"/>
    </xf>
    <xf numFmtId="1" fontId="22" fillId="67" borderId="15" xfId="0" applyNumberFormat="1" applyFont="1" applyFill="1" applyBorder="1" applyAlignment="1">
      <alignment horizontal="center" vertical="center" wrapText="1"/>
    </xf>
    <xf numFmtId="0" fontId="0" fillId="67" borderId="15" xfId="0" applyFill="1" applyBorder="1" applyAlignment="1">
      <alignment horizontal="center" vertical="center" wrapText="1"/>
    </xf>
    <xf numFmtId="0" fontId="31" fillId="24" borderId="49" xfId="0" applyFont="1" applyFill="1" applyBorder="1" applyAlignment="1">
      <alignment vertical="center"/>
    </xf>
    <xf numFmtId="1" fontId="22" fillId="24" borderId="49" xfId="0" applyNumberFormat="1" applyFont="1" applyFill="1" applyBorder="1" applyAlignment="1">
      <alignment horizontal="center" vertical="center"/>
    </xf>
    <xf numFmtId="166" fontId="22" fillId="24" borderId="49" xfId="0" applyNumberFormat="1" applyFont="1" applyFill="1" applyBorder="1" applyAlignment="1">
      <alignment horizontal="center" vertical="center"/>
    </xf>
    <xf numFmtId="2" fontId="22" fillId="24" borderId="49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22" fillId="24" borderId="14" xfId="0" applyFont="1" applyFill="1" applyBorder="1" applyAlignment="1">
      <alignment horizontal="left" vertical="center"/>
    </xf>
    <xf numFmtId="1" fontId="22" fillId="24" borderId="14" xfId="0" applyNumberFormat="1" applyFont="1" applyFill="1" applyBorder="1" applyAlignment="1">
      <alignment horizontal="center" vertical="center"/>
    </xf>
    <xf numFmtId="1" fontId="22" fillId="24" borderId="14" xfId="0" applyNumberFormat="1" applyFont="1" applyFill="1" applyBorder="1" applyAlignment="1">
      <alignment horizontal="center" vertical="center" wrapText="1"/>
    </xf>
    <xf numFmtId="0" fontId="29" fillId="0" borderId="50" xfId="0" applyFont="1" applyBorder="1" applyAlignment="1">
      <alignment vertical="center"/>
    </xf>
    <xf numFmtId="41" fontId="1" fillId="0" borderId="50" xfId="0" applyNumberFormat="1" applyFont="1" applyBorder="1" applyAlignment="1">
      <alignment horizontal="center" vertical="center"/>
    </xf>
    <xf numFmtId="166" fontId="1" fillId="0" borderId="50" xfId="0" applyNumberFormat="1" applyFont="1" applyBorder="1" applyAlignment="1">
      <alignment horizontal="center" vertical="center"/>
    </xf>
    <xf numFmtId="166" fontId="0" fillId="25" borderId="50" xfId="0" applyNumberFormat="1" applyFill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29" fillId="0" borderId="19" xfId="0" applyFont="1" applyBorder="1" applyAlignment="1">
      <alignment vertical="center"/>
    </xf>
    <xf numFmtId="166" fontId="0" fillId="25" borderId="19" xfId="0" applyNumberForma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69" fillId="0" borderId="0" xfId="0" applyFont="1" applyAlignment="1">
      <alignment horizontal="center" vertical="center"/>
    </xf>
    <xf numFmtId="0" fontId="24" fillId="25" borderId="0" xfId="0" applyFont="1" applyFill="1" applyAlignment="1">
      <alignment horizontal="left" vertical="center"/>
    </xf>
    <xf numFmtId="166" fontId="1" fillId="0" borderId="19" xfId="0" applyNumberFormat="1" applyFon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166" fontId="0" fillId="0" borderId="0" xfId="0" applyNumberFormat="1" applyAlignment="1">
      <alignment horizontal="left" vertical="center"/>
    </xf>
    <xf numFmtId="166" fontId="53" fillId="0" borderId="0" xfId="0" applyNumberFormat="1" applyFont="1" applyAlignment="1">
      <alignment vertical="center"/>
    </xf>
    <xf numFmtId="1" fontId="0" fillId="0" borderId="0" xfId="0" applyNumberFormat="1" applyAlignment="1">
      <alignment horizontal="left" vertical="center"/>
    </xf>
    <xf numFmtId="0" fontId="25" fillId="0" borderId="0" xfId="0" applyFont="1" applyAlignment="1">
      <alignment horizontal="left"/>
    </xf>
    <xf numFmtId="1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/>
    </xf>
    <xf numFmtId="166" fontId="25" fillId="0" borderId="0" xfId="0" applyNumberFormat="1" applyFont="1" applyAlignment="1">
      <alignment horizontal="center"/>
    </xf>
    <xf numFmtId="1" fontId="24" fillId="0" borderId="11" xfId="0" applyNumberFormat="1" applyFont="1" applyBorder="1" applyAlignment="1">
      <alignment horizontal="center" vertical="center" wrapText="1"/>
    </xf>
    <xf numFmtId="169" fontId="22" fillId="0" borderId="0" xfId="0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6" fontId="81" fillId="0" borderId="0" xfId="0" applyNumberFormat="1" applyFont="1" applyAlignment="1">
      <alignment vertical="center"/>
    </xf>
    <xf numFmtId="166" fontId="81" fillId="0" borderId="0" xfId="0" applyNumberFormat="1" applyFont="1"/>
    <xf numFmtId="1" fontId="81" fillId="0" borderId="0" xfId="0" applyNumberFormat="1" applyFont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/>
    </xf>
    <xf numFmtId="9" fontId="0" fillId="0" borderId="0" xfId="0" applyNumberFormat="1"/>
    <xf numFmtId="170" fontId="0" fillId="0" borderId="0" xfId="0" applyNumberFormat="1" applyAlignment="1">
      <alignment vertical="center"/>
    </xf>
    <xf numFmtId="1" fontId="81" fillId="0" borderId="0" xfId="0" applyNumberFormat="1" applyFont="1"/>
    <xf numFmtId="166" fontId="82" fillId="0" borderId="0" xfId="0" applyNumberFormat="1" applyFont="1" applyAlignment="1">
      <alignment horizontal="center" vertical="center" wrapText="1"/>
    </xf>
    <xf numFmtId="169" fontId="0" fillId="25" borderId="0" xfId="0" applyNumberFormat="1" applyFill="1"/>
    <xf numFmtId="0" fontId="0" fillId="25" borderId="0" xfId="0" applyFill="1"/>
    <xf numFmtId="169" fontId="0" fillId="0" borderId="0" xfId="0" applyNumberFormat="1" applyAlignment="1">
      <alignment horizontal="center" vertical="top" wrapText="1"/>
    </xf>
    <xf numFmtId="169" fontId="0" fillId="0" borderId="0" xfId="0" applyNumberFormat="1" applyAlignment="1">
      <alignment horizontal="center" vertical="center" wrapText="1"/>
    </xf>
    <xf numFmtId="169" fontId="0" fillId="0" borderId="0" xfId="0" applyNumberFormat="1" applyAlignment="1">
      <alignment horizontal="center" vertical="top"/>
    </xf>
    <xf numFmtId="0" fontId="0" fillId="25" borderId="0" xfId="0" applyFill="1" applyAlignment="1">
      <alignment vertical="center"/>
    </xf>
    <xf numFmtId="1" fontId="0" fillId="25" borderId="0" xfId="0" applyNumberFormat="1" applyFill="1"/>
    <xf numFmtId="0" fontId="24" fillId="25" borderId="0" xfId="0" applyFont="1" applyFill="1"/>
    <xf numFmtId="0" fontId="53" fillId="0" borderId="11" xfId="0" applyFont="1" applyBorder="1" applyAlignment="1">
      <alignment horizontal="center" vertical="center"/>
    </xf>
    <xf numFmtId="0" fontId="83" fillId="0" borderId="11" xfId="0" applyFont="1" applyBorder="1" applyAlignment="1">
      <alignment horizontal="center" vertical="center" wrapText="1"/>
    </xf>
    <xf numFmtId="1" fontId="0" fillId="25" borderId="11" xfId="0" quotePrefix="1" applyNumberFormat="1" applyFill="1" applyBorder="1" applyAlignment="1">
      <alignment horizontal="center" vertical="center" wrapText="1"/>
    </xf>
    <xf numFmtId="1" fontId="0" fillId="25" borderId="11" xfId="0" applyNumberFormat="1" applyFill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31" fillId="24" borderId="13" xfId="0" applyFont="1" applyFill="1" applyBorder="1" applyAlignment="1">
      <alignment vertical="center"/>
    </xf>
    <xf numFmtId="0" fontId="29" fillId="0" borderId="10" xfId="0" applyFont="1" applyBorder="1" applyAlignment="1">
      <alignment vertical="center"/>
    </xf>
    <xf numFmtId="41" fontId="1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66" fontId="0" fillId="25" borderId="11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49" fontId="84" fillId="0" borderId="0" xfId="0" applyNumberFormat="1" applyFont="1" applyAlignment="1">
      <alignment horizontal="left" vertical="center"/>
    </xf>
    <xf numFmtId="49" fontId="84" fillId="0" borderId="0" xfId="0" applyNumberFormat="1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49" fontId="86" fillId="0" borderId="0" xfId="0" applyNumberFormat="1" applyFont="1" applyAlignment="1">
      <alignment horizontal="left" vertical="center" wrapText="1"/>
    </xf>
    <xf numFmtId="166" fontId="86" fillId="0" borderId="0" xfId="0" applyNumberFormat="1" applyFont="1" applyAlignment="1">
      <alignment horizontal="center" vertical="center" wrapText="1"/>
    </xf>
    <xf numFmtId="1" fontId="0" fillId="25" borderId="0" xfId="0" applyNumberFormat="1" applyFill="1" applyAlignment="1">
      <alignment horizontal="center"/>
    </xf>
    <xf numFmtId="2" fontId="22" fillId="0" borderId="11" xfId="0" applyNumberFormat="1" applyFont="1" applyBorder="1" applyAlignment="1">
      <alignment horizontal="center" vertical="center" wrapText="1"/>
    </xf>
    <xf numFmtId="2" fontId="28" fillId="0" borderId="11" xfId="0" applyNumberFormat="1" applyFont="1" applyBorder="1" applyAlignment="1">
      <alignment horizontal="center" vertical="center" wrapText="1"/>
    </xf>
    <xf numFmtId="2" fontId="0" fillId="25" borderId="0" xfId="0" applyNumberFormat="1" applyFill="1"/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49" fontId="8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right" vertical="center" wrapText="1"/>
    </xf>
    <xf numFmtId="1" fontId="1" fillId="0" borderId="19" xfId="0" applyNumberFormat="1" applyFont="1" applyBorder="1" applyAlignment="1">
      <alignment horizontal="center" vertical="center"/>
    </xf>
    <xf numFmtId="0" fontId="0" fillId="0" borderId="0" xfId="181" applyNumberFormat="1" applyFont="1" applyFill="1" applyBorder="1" applyAlignment="1">
      <alignment horizontal="center" vertical="top"/>
    </xf>
    <xf numFmtId="169" fontId="22" fillId="0" borderId="0" xfId="0" applyNumberFormat="1" applyFont="1" applyAlignment="1">
      <alignment horizontal="left" vertical="center" wrapText="1"/>
    </xf>
    <xf numFmtId="166" fontId="22" fillId="0" borderId="11" xfId="0" applyNumberFormat="1" applyFont="1" applyBorder="1" applyAlignment="1">
      <alignment horizontal="center" vertical="center" wrapText="1"/>
    </xf>
    <xf numFmtId="0" fontId="0" fillId="24" borderId="24" xfId="0" applyFill="1" applyBorder="1" applyAlignment="1">
      <alignment horizontal="left"/>
    </xf>
    <xf numFmtId="0" fontId="0" fillId="68" borderId="24" xfId="0" applyFill="1" applyBorder="1" applyAlignment="1">
      <alignment horizontal="left"/>
    </xf>
    <xf numFmtId="0" fontId="35" fillId="0" borderId="43" xfId="60" applyFont="1" applyBorder="1" applyAlignment="1">
      <alignment horizontal="center" vertical="center" wrapText="1"/>
    </xf>
    <xf numFmtId="0" fontId="54" fillId="24" borderId="17" xfId="60" applyNumberFormat="1" applyFont="1" applyFill="1" applyBorder="1" applyAlignment="1" applyProtection="1">
      <alignment horizontal="center" vertical="center" wrapText="1"/>
    </xf>
    <xf numFmtId="0" fontId="54" fillId="24" borderId="17" xfId="60" applyNumberFormat="1" applyFont="1" applyFill="1" applyBorder="1" applyAlignment="1" applyProtection="1">
      <alignment vertical="center" wrapText="1"/>
    </xf>
    <xf numFmtId="164" fontId="53" fillId="24" borderId="16" xfId="60" applyNumberFormat="1" applyFont="1" applyFill="1" applyBorder="1" applyAlignment="1" applyProtection="1">
      <alignment horizontal="left" vertical="center" wrapText="1"/>
    </xf>
    <xf numFmtId="0" fontId="54" fillId="70" borderId="17" xfId="60" applyNumberFormat="1" applyFont="1" applyFill="1" applyBorder="1" applyAlignment="1" applyProtection="1">
      <alignment horizontal="center" vertical="center" wrapText="1"/>
    </xf>
    <xf numFmtId="0" fontId="54" fillId="70" borderId="17" xfId="60" applyNumberFormat="1" applyFont="1" applyFill="1" applyBorder="1" applyAlignment="1" applyProtection="1">
      <alignment vertical="center" wrapText="1"/>
    </xf>
    <xf numFmtId="0" fontId="87" fillId="0" borderId="0" xfId="0" applyFont="1" applyFill="1" applyAlignment="1" applyProtection="1">
      <alignment horizontal="center"/>
    </xf>
    <xf numFmtId="0" fontId="88" fillId="0" borderId="0" xfId="0" applyFont="1" applyFill="1" applyAlignment="1" applyProtection="1"/>
    <xf numFmtId="0" fontId="87" fillId="0" borderId="0" xfId="0" applyFont="1" applyAlignment="1" applyProtection="1">
      <alignment horizontal="center"/>
    </xf>
    <xf numFmtId="170" fontId="0" fillId="0" borderId="48" xfId="0" applyNumberFormat="1" applyBorder="1" applyAlignment="1"/>
    <xf numFmtId="0" fontId="26" fillId="0" borderId="0" xfId="0" applyFont="1"/>
    <xf numFmtId="1" fontId="0" fillId="0" borderId="16" xfId="0" applyNumberFormat="1" applyBorder="1" applyAlignment="1">
      <alignment horizontal="center" vertical="center"/>
    </xf>
    <xf numFmtId="0" fontId="0" fillId="0" borderId="47" xfId="0" applyBorder="1" applyAlignment="1">
      <alignment horizontal="left"/>
    </xf>
    <xf numFmtId="0" fontId="0" fillId="0" borderId="51" xfId="0" applyBorder="1" applyAlignment="1">
      <alignment horizontal="center" vertical="center"/>
    </xf>
    <xf numFmtId="0" fontId="35" fillId="0" borderId="53" xfId="60" applyFont="1" applyBorder="1" applyAlignment="1">
      <alignment horizontal="center" vertical="center" wrapText="1"/>
    </xf>
    <xf numFmtId="0" fontId="91" fillId="0" borderId="47" xfId="0" applyFont="1" applyBorder="1" applyAlignment="1">
      <alignment horizontal="center" vertical="center"/>
    </xf>
    <xf numFmtId="0" fontId="92" fillId="69" borderId="47" xfId="60" applyFont="1" applyFill="1" applyBorder="1" applyAlignment="1">
      <alignment horizontal="center" vertical="center" wrapText="1"/>
    </xf>
    <xf numFmtId="0" fontId="33" fillId="24" borderId="47" xfId="60" applyFont="1" applyFill="1" applyBorder="1" applyAlignment="1">
      <alignment horizontal="center" vertical="center" wrapText="1"/>
    </xf>
    <xf numFmtId="0" fontId="93" fillId="24" borderId="47" xfId="60" applyFont="1" applyFill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/>
    </xf>
    <xf numFmtId="0" fontId="33" fillId="24" borderId="52" xfId="60" applyFont="1" applyFill="1" applyBorder="1" applyAlignment="1">
      <alignment horizontal="center" vertical="center" wrapText="1"/>
    </xf>
    <xf numFmtId="0" fontId="32" fillId="24" borderId="11" xfId="60" applyFont="1" applyFill="1" applyBorder="1" applyAlignment="1">
      <alignment horizontal="center" vertical="center" wrapText="1"/>
    </xf>
    <xf numFmtId="0" fontId="94" fillId="0" borderId="47" xfId="0" applyFont="1" applyBorder="1" applyAlignment="1">
      <alignment horizontal="center" vertical="center"/>
    </xf>
    <xf numFmtId="0" fontId="95" fillId="0" borderId="47" xfId="0" applyFont="1" applyBorder="1" applyAlignment="1">
      <alignment horizontal="center" vertical="center"/>
    </xf>
    <xf numFmtId="0" fontId="43" fillId="71" borderId="46" xfId="0" applyFont="1" applyFill="1" applyBorder="1" applyAlignment="1">
      <alignment horizontal="center" vertical="center"/>
    </xf>
    <xf numFmtId="0" fontId="0" fillId="72" borderId="24" xfId="0" applyFill="1" applyBorder="1" applyAlignment="1">
      <alignment horizontal="left"/>
    </xf>
    <xf numFmtId="0" fontId="46" fillId="72" borderId="24" xfId="0" applyFont="1" applyFill="1" applyBorder="1" applyAlignment="1">
      <alignment horizontal="left"/>
    </xf>
    <xf numFmtId="0" fontId="35" fillId="0" borderId="21" xfId="0" applyFont="1" applyBorder="1" applyAlignment="1" applyProtection="1">
      <alignment horizontal="center" vertical="center"/>
    </xf>
    <xf numFmtId="0" fontId="35" fillId="0" borderId="22" xfId="0" applyFont="1" applyBorder="1" applyAlignment="1" applyProtection="1">
      <alignment horizontal="center" vertical="center"/>
    </xf>
    <xf numFmtId="0" fontId="35" fillId="0" borderId="23" xfId="0" applyFont="1" applyBorder="1" applyAlignment="1" applyProtection="1">
      <alignment horizontal="center" vertical="center"/>
    </xf>
    <xf numFmtId="0" fontId="37" fillId="0" borderId="0" xfId="0" applyFont="1" applyFill="1" applyAlignment="1">
      <alignment horizontal="center" vertical="center"/>
    </xf>
  </cellXfs>
  <cellStyles count="182">
    <cellStyle name="20% - Énfasis1" xfId="137" builtinId="30" customBuiltin="1"/>
    <cellStyle name="20% - Énfasis1 2" xfId="1" xr:uid="{00000000-0005-0000-0000-000001000000}"/>
    <cellStyle name="20% - Énfasis1 2 2" xfId="2" xr:uid="{00000000-0005-0000-0000-000002000000}"/>
    <cellStyle name="20% - Énfasis2" xfId="141" builtinId="34" customBuiltin="1"/>
    <cellStyle name="20% - Énfasis2 2" xfId="3" xr:uid="{00000000-0005-0000-0000-000004000000}"/>
    <cellStyle name="20% - Énfasis2 2 2" xfId="4" xr:uid="{00000000-0005-0000-0000-000005000000}"/>
    <cellStyle name="20% - Énfasis3" xfId="145" builtinId="38" customBuiltin="1"/>
    <cellStyle name="20% - Énfasis3 2" xfId="5" xr:uid="{00000000-0005-0000-0000-000007000000}"/>
    <cellStyle name="20% - Énfasis3 2 2" xfId="6" xr:uid="{00000000-0005-0000-0000-000008000000}"/>
    <cellStyle name="20% - Énfasis4" xfId="149" builtinId="42" customBuiltin="1"/>
    <cellStyle name="20% - Énfasis4 2" xfId="7" xr:uid="{00000000-0005-0000-0000-00000A000000}"/>
    <cellStyle name="20% - Énfasis4 2 2" xfId="8" xr:uid="{00000000-0005-0000-0000-00000B000000}"/>
    <cellStyle name="20% - Énfasis5" xfId="153" builtinId="46" customBuiltin="1"/>
    <cellStyle name="20% - Énfasis5 2" xfId="9" xr:uid="{00000000-0005-0000-0000-00000D000000}"/>
    <cellStyle name="20% - Énfasis5 2 2" xfId="10" xr:uid="{00000000-0005-0000-0000-00000E000000}"/>
    <cellStyle name="20% - Énfasis6" xfId="157" builtinId="50" customBuiltin="1"/>
    <cellStyle name="20% - Énfasis6 2" xfId="11" xr:uid="{00000000-0005-0000-0000-000010000000}"/>
    <cellStyle name="20% - Énfasis6 2 2" xfId="12" xr:uid="{00000000-0005-0000-0000-000011000000}"/>
    <cellStyle name="40% - Énfasis1" xfId="138" builtinId="31" customBuiltin="1"/>
    <cellStyle name="40% - Énfasis1 2" xfId="13" xr:uid="{00000000-0005-0000-0000-000013000000}"/>
    <cellStyle name="40% - Énfasis1 2 2" xfId="14" xr:uid="{00000000-0005-0000-0000-000014000000}"/>
    <cellStyle name="40% - Énfasis2" xfId="142" builtinId="35" customBuiltin="1"/>
    <cellStyle name="40% - Énfasis2 2" xfId="15" xr:uid="{00000000-0005-0000-0000-000016000000}"/>
    <cellStyle name="40% - Énfasis2 2 2" xfId="16" xr:uid="{00000000-0005-0000-0000-000017000000}"/>
    <cellStyle name="40% - Énfasis3" xfId="146" builtinId="39" customBuiltin="1"/>
    <cellStyle name="40% - Énfasis3 2" xfId="17" xr:uid="{00000000-0005-0000-0000-000019000000}"/>
    <cellStyle name="40% - Énfasis3 2 2" xfId="18" xr:uid="{00000000-0005-0000-0000-00001A000000}"/>
    <cellStyle name="40% - Énfasis4" xfId="150" builtinId="43" customBuiltin="1"/>
    <cellStyle name="40% - Énfasis4 2" xfId="19" xr:uid="{00000000-0005-0000-0000-00001C000000}"/>
    <cellStyle name="40% - Énfasis4 2 2" xfId="20" xr:uid="{00000000-0005-0000-0000-00001D000000}"/>
    <cellStyle name="40% - Énfasis5" xfId="154" builtinId="47" customBuiltin="1"/>
    <cellStyle name="40% - Énfasis5 2" xfId="21" xr:uid="{00000000-0005-0000-0000-00001F000000}"/>
    <cellStyle name="40% - Énfasis5 2 2" xfId="22" xr:uid="{00000000-0005-0000-0000-000020000000}"/>
    <cellStyle name="40% - Énfasis6" xfId="158" builtinId="51" customBuiltin="1"/>
    <cellStyle name="40% - Énfasis6 2" xfId="23" xr:uid="{00000000-0005-0000-0000-000022000000}"/>
    <cellStyle name="40% - Énfasis6 2 2" xfId="24" xr:uid="{00000000-0005-0000-0000-000023000000}"/>
    <cellStyle name="60% - Énfasis1" xfId="139" builtinId="32" customBuiltin="1"/>
    <cellStyle name="60% - Énfasis1 2" xfId="25" xr:uid="{00000000-0005-0000-0000-000025000000}"/>
    <cellStyle name="60% - Énfasis2" xfId="143" builtinId="36" customBuiltin="1"/>
    <cellStyle name="60% - Énfasis2 2" xfId="26" xr:uid="{00000000-0005-0000-0000-000027000000}"/>
    <cellStyle name="60% - Énfasis3" xfId="147" builtinId="40" customBuiltin="1"/>
    <cellStyle name="60% - Énfasis3 2" xfId="27" xr:uid="{00000000-0005-0000-0000-000029000000}"/>
    <cellStyle name="60% - Énfasis4" xfId="151" builtinId="44" customBuiltin="1"/>
    <cellStyle name="60% - Énfasis4 2" xfId="28" xr:uid="{00000000-0005-0000-0000-00002B000000}"/>
    <cellStyle name="60% - Énfasis5" xfId="155" builtinId="48" customBuiltin="1"/>
    <cellStyle name="60% - Énfasis5 2" xfId="29" xr:uid="{00000000-0005-0000-0000-00002D000000}"/>
    <cellStyle name="60% - Énfasis6" xfId="159" builtinId="52" customBuiltin="1"/>
    <cellStyle name="60% - Énfasis6 2" xfId="30" xr:uid="{00000000-0005-0000-0000-00002F000000}"/>
    <cellStyle name="Buena 2" xfId="31" xr:uid="{00000000-0005-0000-0000-000030000000}"/>
    <cellStyle name="Bueno" xfId="124" builtinId="26" customBuiltin="1"/>
    <cellStyle name="Cálculo" xfId="129" builtinId="22" customBuiltin="1"/>
    <cellStyle name="Cálculo 2" xfId="32" xr:uid="{00000000-0005-0000-0000-000033000000}"/>
    <cellStyle name="Cálculo 3" xfId="33" xr:uid="{00000000-0005-0000-0000-000034000000}"/>
    <cellStyle name="Cálculo 4" xfId="34" xr:uid="{00000000-0005-0000-0000-000035000000}"/>
    <cellStyle name="Cálculo 5" xfId="35" xr:uid="{00000000-0005-0000-0000-000036000000}"/>
    <cellStyle name="Cálculo 6" xfId="36" xr:uid="{00000000-0005-0000-0000-000037000000}"/>
    <cellStyle name="Celda de comprobación" xfId="131" builtinId="23" customBuiltin="1"/>
    <cellStyle name="Celda de comprobación 2" xfId="37" xr:uid="{00000000-0005-0000-0000-000039000000}"/>
    <cellStyle name="Celda vinculada" xfId="130" builtinId="24" customBuiltin="1"/>
    <cellStyle name="Celda vinculada 2" xfId="38" xr:uid="{00000000-0005-0000-0000-00003B000000}"/>
    <cellStyle name="Date" xfId="100" xr:uid="{00000000-0005-0000-0000-00003C000000}"/>
    <cellStyle name="Encabezado 1" xfId="120" builtinId="16" customBuiltin="1"/>
    <cellStyle name="Encabezado 1 2" xfId="39" xr:uid="{00000000-0005-0000-0000-00003E000000}"/>
    <cellStyle name="Encabezado 4" xfId="123" builtinId="19" customBuiltin="1"/>
    <cellStyle name="Encabezado 4 2" xfId="40" xr:uid="{00000000-0005-0000-0000-000040000000}"/>
    <cellStyle name="Énfasis1" xfId="136" builtinId="29" customBuiltin="1"/>
    <cellStyle name="Énfasis1 2" xfId="41" xr:uid="{00000000-0005-0000-0000-000042000000}"/>
    <cellStyle name="Énfasis2" xfId="140" builtinId="33" customBuiltin="1"/>
    <cellStyle name="Énfasis2 2" xfId="42" xr:uid="{00000000-0005-0000-0000-000044000000}"/>
    <cellStyle name="Énfasis3" xfId="144" builtinId="37" customBuiltin="1"/>
    <cellStyle name="Énfasis3 2" xfId="43" xr:uid="{00000000-0005-0000-0000-000046000000}"/>
    <cellStyle name="Énfasis4" xfId="148" builtinId="41" customBuiltin="1"/>
    <cellStyle name="Énfasis4 2" xfId="44" xr:uid="{00000000-0005-0000-0000-000048000000}"/>
    <cellStyle name="Énfasis5" xfId="152" builtinId="45" customBuiltin="1"/>
    <cellStyle name="Énfasis5 2" xfId="45" xr:uid="{00000000-0005-0000-0000-00004A000000}"/>
    <cellStyle name="Énfasis6" xfId="156" builtinId="49" customBuiltin="1"/>
    <cellStyle name="Énfasis6 2" xfId="46" xr:uid="{00000000-0005-0000-0000-00004C000000}"/>
    <cellStyle name="Entrada" xfId="127" builtinId="20" customBuiltin="1"/>
    <cellStyle name="Entrada 2" xfId="47" xr:uid="{00000000-0005-0000-0000-00004E000000}"/>
    <cellStyle name="Entrada 3" xfId="48" xr:uid="{00000000-0005-0000-0000-00004F000000}"/>
    <cellStyle name="Entrada 4" xfId="49" xr:uid="{00000000-0005-0000-0000-000050000000}"/>
    <cellStyle name="Entrada 5" xfId="50" xr:uid="{00000000-0005-0000-0000-000051000000}"/>
    <cellStyle name="Entrada 6" xfId="51" xr:uid="{00000000-0005-0000-0000-000052000000}"/>
    <cellStyle name="Euro" xfId="52" xr:uid="{00000000-0005-0000-0000-000053000000}"/>
    <cellStyle name="Euro 2" xfId="88" xr:uid="{00000000-0005-0000-0000-000054000000}"/>
    <cellStyle name="Fixed" xfId="101" xr:uid="{00000000-0005-0000-0000-000055000000}"/>
    <cellStyle name="HEADING1" xfId="102" xr:uid="{00000000-0005-0000-0000-000056000000}"/>
    <cellStyle name="HEADING2" xfId="103" xr:uid="{00000000-0005-0000-0000-000057000000}"/>
    <cellStyle name="Incorrecto" xfId="125" builtinId="27" customBuiltin="1"/>
    <cellStyle name="Incorrecto 2" xfId="53" xr:uid="{00000000-0005-0000-0000-000059000000}"/>
    <cellStyle name="Millares 2" xfId="54" xr:uid="{00000000-0005-0000-0000-00005A000000}"/>
    <cellStyle name="Millares 2 2" xfId="105" xr:uid="{00000000-0005-0000-0000-00005B000000}"/>
    <cellStyle name="Millares 2 2 2" xfId="113" xr:uid="{00000000-0005-0000-0000-00005C000000}"/>
    <cellStyle name="Millares 2 2 3" xfId="115" xr:uid="{00000000-0005-0000-0000-00005D000000}"/>
    <cellStyle name="Millares 2 3" xfId="112" xr:uid="{00000000-0005-0000-0000-00005E000000}"/>
    <cellStyle name="Millares 2 4" xfId="114" xr:uid="{00000000-0005-0000-0000-00005F000000}"/>
    <cellStyle name="Neutral" xfId="126" builtinId="28" customBuiltin="1"/>
    <cellStyle name="Neutral 2" xfId="55" xr:uid="{00000000-0005-0000-0000-000061000000}"/>
    <cellStyle name="Normal" xfId="0" builtinId="0"/>
    <cellStyle name="Normal 10" xfId="109" xr:uid="{00000000-0005-0000-0000-000063000000}"/>
    <cellStyle name="Normal 11" xfId="110" xr:uid="{00000000-0005-0000-0000-000064000000}"/>
    <cellStyle name="Normal 11 2" xfId="111" xr:uid="{00000000-0005-0000-0000-000065000000}"/>
    <cellStyle name="Normal 11 3" xfId="116" xr:uid="{00000000-0005-0000-0000-000066000000}"/>
    <cellStyle name="Normal 12" xfId="118" xr:uid="{00000000-0005-0000-0000-000067000000}"/>
    <cellStyle name="Normal 13" xfId="180" xr:uid="{00000000-0005-0000-0000-000068000000}"/>
    <cellStyle name="Normal 2" xfId="56" xr:uid="{00000000-0005-0000-0000-000069000000}"/>
    <cellStyle name="Normal 2 10" xfId="169" xr:uid="{00000000-0005-0000-0000-00006A000000}"/>
    <cellStyle name="Normal 2 11" xfId="171" xr:uid="{00000000-0005-0000-0000-00006B000000}"/>
    <cellStyle name="Normal 2 2" xfId="57" xr:uid="{00000000-0005-0000-0000-00006C000000}"/>
    <cellStyle name="Normal 2 2 2" xfId="89" xr:uid="{00000000-0005-0000-0000-00006D000000}"/>
    <cellStyle name="Normal 2 2 2 2" xfId="175" xr:uid="{00000000-0005-0000-0000-00006E000000}"/>
    <cellStyle name="Normal 2 2 3" xfId="160" xr:uid="{00000000-0005-0000-0000-00006F000000}"/>
    <cellStyle name="Normal 2 3" xfId="106" xr:uid="{00000000-0005-0000-0000-000070000000}"/>
    <cellStyle name="Normal 2 3 2" xfId="161" xr:uid="{00000000-0005-0000-0000-000071000000}"/>
    <cellStyle name="Normal 2 4" xfId="163" xr:uid="{00000000-0005-0000-0000-000072000000}"/>
    <cellStyle name="Normal 2 5" xfId="164" xr:uid="{00000000-0005-0000-0000-000073000000}"/>
    <cellStyle name="Normal 2 6" xfId="165" xr:uid="{00000000-0005-0000-0000-000074000000}"/>
    <cellStyle name="Normal 2 7" xfId="166" xr:uid="{00000000-0005-0000-0000-000075000000}"/>
    <cellStyle name="Normal 2 8" xfId="167" xr:uid="{00000000-0005-0000-0000-000076000000}"/>
    <cellStyle name="Normal 2 9" xfId="168" xr:uid="{00000000-0005-0000-0000-000077000000}"/>
    <cellStyle name="Normal 2_Dic" xfId="162" xr:uid="{00000000-0005-0000-0000-000078000000}"/>
    <cellStyle name="Normal 3" xfId="58" xr:uid="{00000000-0005-0000-0000-000079000000}"/>
    <cellStyle name="Normal 3 2" xfId="59" xr:uid="{00000000-0005-0000-0000-00007A000000}"/>
    <cellStyle name="Normal 3 2 2" xfId="176" xr:uid="{00000000-0005-0000-0000-00007B000000}"/>
    <cellStyle name="Normal 3 3" xfId="90" xr:uid="{00000000-0005-0000-0000-00007C000000}"/>
    <cellStyle name="Normal 3 4" xfId="107" xr:uid="{00000000-0005-0000-0000-00007D000000}"/>
    <cellStyle name="Normal 3 5" xfId="99" xr:uid="{00000000-0005-0000-0000-00007E000000}"/>
    <cellStyle name="Normal 39" xfId="60" xr:uid="{00000000-0005-0000-0000-00007F000000}"/>
    <cellStyle name="Normal 4" xfId="91" xr:uid="{00000000-0005-0000-0000-000080000000}"/>
    <cellStyle name="Normal 45" xfId="92" xr:uid="{00000000-0005-0000-0000-000081000000}"/>
    <cellStyle name="Normal 5" xfId="93" xr:uid="{00000000-0005-0000-0000-000082000000}"/>
    <cellStyle name="Normal 5 2" xfId="170" xr:uid="{00000000-0005-0000-0000-000083000000}"/>
    <cellStyle name="Normal 6" xfId="94" xr:uid="{00000000-0005-0000-0000-000084000000}"/>
    <cellStyle name="Normal 7" xfId="95" xr:uid="{00000000-0005-0000-0000-000085000000}"/>
    <cellStyle name="Normal 8" xfId="96" xr:uid="{00000000-0005-0000-0000-000086000000}"/>
    <cellStyle name="Normal 9" xfId="97" xr:uid="{00000000-0005-0000-0000-000087000000}"/>
    <cellStyle name="Normal_P.S. Buenos Aires" xfId="87" xr:uid="{00000000-0005-0000-0000-000088000000}"/>
    <cellStyle name="Notas" xfId="133" builtinId="10" customBuiltin="1"/>
    <cellStyle name="Notas 2" xfId="61" xr:uid="{00000000-0005-0000-0000-00008A000000}"/>
    <cellStyle name="Notas 2 2" xfId="62" xr:uid="{00000000-0005-0000-0000-00008B000000}"/>
    <cellStyle name="Notas 2 3" xfId="172" xr:uid="{00000000-0005-0000-0000-00008C000000}"/>
    <cellStyle name="Notas 3" xfId="63" xr:uid="{00000000-0005-0000-0000-00008D000000}"/>
    <cellStyle name="Notas 3 2" xfId="64" xr:uid="{00000000-0005-0000-0000-00008E000000}"/>
    <cellStyle name="Notas 4" xfId="65" xr:uid="{00000000-0005-0000-0000-00008F000000}"/>
    <cellStyle name="Notas 4 2" xfId="66" xr:uid="{00000000-0005-0000-0000-000090000000}"/>
    <cellStyle name="Notas 5" xfId="67" xr:uid="{00000000-0005-0000-0000-000091000000}"/>
    <cellStyle name="Notas 5 2" xfId="68" xr:uid="{00000000-0005-0000-0000-000092000000}"/>
    <cellStyle name="Notas 6" xfId="69" xr:uid="{00000000-0005-0000-0000-000093000000}"/>
    <cellStyle name="Notas 6 2" xfId="70" xr:uid="{00000000-0005-0000-0000-000094000000}"/>
    <cellStyle name="Porcentaje" xfId="181" builtinId="5"/>
    <cellStyle name="Porcentaje 2" xfId="71" xr:uid="{00000000-0005-0000-0000-000096000000}"/>
    <cellStyle name="Porcentaje 2 2" xfId="98" xr:uid="{00000000-0005-0000-0000-000097000000}"/>
    <cellStyle name="Porcentaje 3" xfId="117" xr:uid="{00000000-0005-0000-0000-000098000000}"/>
    <cellStyle name="Porcentual 2" xfId="173" xr:uid="{00000000-0005-0000-0000-000099000000}"/>
    <cellStyle name="Porcentual 2 2" xfId="177" xr:uid="{00000000-0005-0000-0000-00009A000000}"/>
    <cellStyle name="Porcentual 3" xfId="178" xr:uid="{00000000-0005-0000-0000-00009B000000}"/>
    <cellStyle name="Porcentual 4" xfId="179" xr:uid="{00000000-0005-0000-0000-00009C000000}"/>
    <cellStyle name="Salida" xfId="128" builtinId="21" customBuiltin="1"/>
    <cellStyle name="Salida 2" xfId="72" xr:uid="{00000000-0005-0000-0000-00009E000000}"/>
    <cellStyle name="Salida 3" xfId="73" xr:uid="{00000000-0005-0000-0000-00009F000000}"/>
    <cellStyle name="Salida 4" xfId="74" xr:uid="{00000000-0005-0000-0000-0000A0000000}"/>
    <cellStyle name="Salida 5" xfId="75" xr:uid="{00000000-0005-0000-0000-0000A1000000}"/>
    <cellStyle name="Salida 6" xfId="76" xr:uid="{00000000-0005-0000-0000-0000A2000000}"/>
    <cellStyle name="Texto de advertencia" xfId="132" builtinId="11" customBuiltin="1"/>
    <cellStyle name="Texto de advertencia 2" xfId="77" xr:uid="{00000000-0005-0000-0000-0000A4000000}"/>
    <cellStyle name="Texto explicativo" xfId="134" builtinId="53" customBuiltin="1"/>
    <cellStyle name="Texto explicativo 2" xfId="78" xr:uid="{00000000-0005-0000-0000-0000A6000000}"/>
    <cellStyle name="Título" xfId="119" builtinId="15" customBuiltin="1"/>
    <cellStyle name="Título 1 2" xfId="174" xr:uid="{00000000-0005-0000-0000-0000A8000000}"/>
    <cellStyle name="Título 2" xfId="121" builtinId="17" customBuiltin="1"/>
    <cellStyle name="Título 2 2" xfId="79" xr:uid="{00000000-0005-0000-0000-0000AA000000}"/>
    <cellStyle name="Título 3" xfId="122" builtinId="18" customBuiltin="1"/>
    <cellStyle name="Título 3 2" xfId="80" xr:uid="{00000000-0005-0000-0000-0000AC000000}"/>
    <cellStyle name="Título 4" xfId="81" xr:uid="{00000000-0005-0000-0000-0000AD000000}"/>
    <cellStyle name="Total" xfId="135" builtinId="25" customBuiltin="1"/>
    <cellStyle name="Total 2" xfId="82" xr:uid="{00000000-0005-0000-0000-0000AF000000}"/>
    <cellStyle name="Total 2 2" xfId="108" xr:uid="{00000000-0005-0000-0000-0000B0000000}"/>
    <cellStyle name="Total 2 3" xfId="104" xr:uid="{00000000-0005-0000-0000-0000B1000000}"/>
    <cellStyle name="Total 3" xfId="83" xr:uid="{00000000-0005-0000-0000-0000B2000000}"/>
    <cellStyle name="Total 4" xfId="84" xr:uid="{00000000-0005-0000-0000-0000B3000000}"/>
    <cellStyle name="Total 5" xfId="85" xr:uid="{00000000-0005-0000-0000-0000B4000000}"/>
    <cellStyle name="Total 6" xfId="86" xr:uid="{00000000-0005-0000-0000-0000B5000000}"/>
  </cellStyles>
  <dxfs count="33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colors>
    <mruColors>
      <color rgb="FFFF7C5D"/>
      <color rgb="FF0000FF"/>
      <color rgb="FFEEF1CB"/>
      <color rgb="FF33CCFF"/>
      <color rgb="FF0067B4"/>
      <color rgb="FF7CA1CE"/>
      <color rgb="FF795BB5"/>
      <color rgb="FF2D507B"/>
      <color rgb="FF008A3E"/>
      <color rgb="FF368A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NIÑO!$V$44</c:f>
          <c:strCache>
            <c:ptCount val="1"/>
            <c:pt idx="0">
              <c:v>RED. MOYOBAMBA:  % DE RECIEN NACIDOS CON PREMATURIDAD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NIÑO!$H$44</c:f>
              <c:strCache>
                <c:ptCount val="1"/>
                <c:pt idx="0">
                  <c:v>DEFICIENTE &gt;= 6,1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NIÑO!$A$45:$A$54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NIÑO!$H$45:$H$54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C-4681-A592-6C5D6F61FA9E}"/>
            </c:ext>
          </c:extLst>
        </c:ser>
        <c:ser>
          <c:idx val="2"/>
          <c:order val="1"/>
          <c:tx>
            <c:strRef>
              <c:f>NIÑO!$I$44</c:f>
              <c:strCache>
                <c:ptCount val="1"/>
                <c:pt idx="0">
                  <c:v>PROCESO &gt; 0  -  &lt; 6,1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NIÑO!$A$45:$A$54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NIÑO!$I$45:$I$54</c:f>
              <c:numCache>
                <c:formatCode>0.00</c:formatCode>
                <c:ptCount val="10"/>
                <c:pt idx="0">
                  <c:v>2.78</c:v>
                </c:pt>
                <c:pt idx="1">
                  <c:v>0</c:v>
                </c:pt>
                <c:pt idx="2">
                  <c:v>0.96</c:v>
                </c:pt>
                <c:pt idx="3">
                  <c:v>0</c:v>
                </c:pt>
                <c:pt idx="4">
                  <c:v>0</c:v>
                </c:pt>
                <c:pt idx="5">
                  <c:v>1.69</c:v>
                </c:pt>
                <c:pt idx="6">
                  <c:v>4.55</c:v>
                </c:pt>
                <c:pt idx="7">
                  <c:v>2.64</c:v>
                </c:pt>
                <c:pt idx="8">
                  <c:v>0.56999999999999995</c:v>
                </c:pt>
                <c:pt idx="9">
                  <c:v>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EC-4681-A592-6C5D6F61FA9E}"/>
            </c:ext>
          </c:extLst>
        </c:ser>
        <c:ser>
          <c:idx val="3"/>
          <c:order val="2"/>
          <c:tx>
            <c:strRef>
              <c:f>NIÑO!$J$44</c:f>
              <c:strCache>
                <c:ptCount val="1"/>
                <c:pt idx="0">
                  <c:v>OPTIMO &lt;= 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EC-4681-A592-6C5D6F61FA9E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NIÑO!$A$45:$A$54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NIÑO!$J$45:$J$54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EC-4681-A592-6C5D6F61F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1712"/>
        <c:axId val="488922104"/>
      </c:barChart>
      <c:catAx>
        <c:axId val="48892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2104"/>
        <c:crosses val="autoZero"/>
        <c:auto val="1"/>
        <c:lblAlgn val="ctr"/>
        <c:lblOffset val="1"/>
        <c:noMultiLvlLbl val="0"/>
      </c:catAx>
      <c:valAx>
        <c:axId val="4889221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171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2110500514108122E-2"/>
          <c:y val="0.75230491571946057"/>
          <c:w val="0.9557786780553492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NIÑO!$V$311</c:f>
          <c:strCache>
            <c:ptCount val="1"/>
            <c:pt idx="0">
              <c:v>RED. MOYOBAMBA:  16. NIÑOS DE  1 AÑO CONTROLADOS CRED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NIÑO!$H$311</c:f>
              <c:strCache>
                <c:ptCount val="1"/>
                <c:pt idx="0">
                  <c:v>DEFICIENTE &lt;= 37,5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NIÑO!$A$312:$A$320</c:f>
            </c:multiLvlStrRef>
          </c:cat>
          <c:val>
            <c:numRef>
              <c:f>NIÑO!$H$312:$H$320</c:f>
            </c:numRef>
          </c:val>
          <c:extLst>
            <c:ext xmlns:c16="http://schemas.microsoft.com/office/drawing/2014/chart" uri="{C3380CC4-5D6E-409C-BE32-E72D297353CC}">
              <c16:uniqueId val="{00000000-156D-44CB-8515-4A5AFB2C04DC}"/>
            </c:ext>
          </c:extLst>
        </c:ser>
        <c:ser>
          <c:idx val="2"/>
          <c:order val="2"/>
          <c:tx>
            <c:strRef>
              <c:f>NIÑO!$I$311</c:f>
              <c:strCache>
                <c:ptCount val="1"/>
                <c:pt idx="0">
                  <c:v>PROCESO &gt; 37,5  -  &lt; 41,7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NIÑO!$A$312:$A$320</c:f>
            </c:multiLvlStrRef>
          </c:cat>
          <c:val>
            <c:numRef>
              <c:f>NIÑO!$I$312:$I$320</c:f>
            </c:numRef>
          </c:val>
          <c:extLst>
            <c:ext xmlns:c16="http://schemas.microsoft.com/office/drawing/2014/chart" uri="{C3380CC4-5D6E-409C-BE32-E72D297353CC}">
              <c16:uniqueId val="{00000001-156D-44CB-8515-4A5AFB2C04DC}"/>
            </c:ext>
          </c:extLst>
        </c:ser>
        <c:ser>
          <c:idx val="3"/>
          <c:order val="3"/>
          <c:tx>
            <c:strRef>
              <c:f>NIÑO!$J$311</c:f>
              <c:strCache>
                <c:ptCount val="1"/>
                <c:pt idx="0">
                  <c:v>OPTIMO &gt;= 41,7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NIÑO!$A$312:$A$320</c:f>
            </c:multiLvlStrRef>
          </c:cat>
          <c:val>
            <c:numRef>
              <c:f>NIÑO!$J$312:$J$320</c:f>
            </c:numRef>
          </c:val>
          <c:extLst>
            <c:ext xmlns:c16="http://schemas.microsoft.com/office/drawing/2014/chart" uri="{C3380CC4-5D6E-409C-BE32-E72D297353CC}">
              <c16:uniqueId val="{00000002-156D-44CB-8515-4A5AFB2C0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5288"/>
        <c:axId val="608005680"/>
      </c:barChart>
      <c:lineChart>
        <c:grouping val="standard"/>
        <c:varyColors val="0"/>
        <c:ser>
          <c:idx val="0"/>
          <c:order val="0"/>
          <c:tx>
            <c:strRef>
              <c:f>NIÑO!$E$311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NIÑO!$A$312:$A$320</c:f>
            </c:multiLvlStrRef>
          </c:cat>
          <c:val>
            <c:numRef>
              <c:f>NIÑO!$E$312:$E$320</c:f>
            </c:numRef>
          </c:val>
          <c:smooth val="0"/>
          <c:extLst>
            <c:ext xmlns:c16="http://schemas.microsoft.com/office/drawing/2014/chart" uri="{C3380CC4-5D6E-409C-BE32-E72D297353CC}">
              <c16:uniqueId val="{00000003-156D-44CB-8515-4A5AFB2C0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5288"/>
        <c:axId val="608005680"/>
      </c:lineChart>
      <c:catAx>
        <c:axId val="60800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5680"/>
        <c:crosses val="autoZero"/>
        <c:auto val="1"/>
        <c:lblAlgn val="ctr"/>
        <c:lblOffset val="1"/>
        <c:noMultiLvlLbl val="0"/>
      </c:catAx>
      <c:valAx>
        <c:axId val="6080056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528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2110504061920191E-2"/>
          <c:y val="0.75230491571946057"/>
          <c:w val="0.9537410117309417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NIÑO!$V$331</c:f>
          <c:strCache>
            <c:ptCount val="1"/>
            <c:pt idx="0">
              <c:v>RED. MOYOBAMBA:  17. NIÑOS DE  2 AÑO CONTROLADOS CRED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NIÑO!$H$331</c:f>
              <c:strCache>
                <c:ptCount val="1"/>
                <c:pt idx="0">
                  <c:v>DEFICIENTE &lt;= 37,5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NIÑO!$A$332:$A$340</c:f>
            </c:multiLvlStrRef>
          </c:cat>
          <c:val>
            <c:numRef>
              <c:f>NIÑO!$H$332:$H$340</c:f>
            </c:numRef>
          </c:val>
          <c:extLst>
            <c:ext xmlns:c16="http://schemas.microsoft.com/office/drawing/2014/chart" uri="{C3380CC4-5D6E-409C-BE32-E72D297353CC}">
              <c16:uniqueId val="{00000000-07C6-4F3A-BE2C-592E85CE1972}"/>
            </c:ext>
          </c:extLst>
        </c:ser>
        <c:ser>
          <c:idx val="2"/>
          <c:order val="2"/>
          <c:tx>
            <c:strRef>
              <c:f>NIÑO!$I$331</c:f>
              <c:strCache>
                <c:ptCount val="1"/>
                <c:pt idx="0">
                  <c:v>PROCESO &gt; 37,5  -  &lt; 41,7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NIÑO!$A$332:$A$340</c:f>
            </c:multiLvlStrRef>
          </c:cat>
          <c:val>
            <c:numRef>
              <c:f>NIÑO!$I$332:$I$340</c:f>
            </c:numRef>
          </c:val>
          <c:extLst>
            <c:ext xmlns:c16="http://schemas.microsoft.com/office/drawing/2014/chart" uri="{C3380CC4-5D6E-409C-BE32-E72D297353CC}">
              <c16:uniqueId val="{00000001-07C6-4F3A-BE2C-592E85CE1972}"/>
            </c:ext>
          </c:extLst>
        </c:ser>
        <c:ser>
          <c:idx val="3"/>
          <c:order val="3"/>
          <c:tx>
            <c:strRef>
              <c:f>NIÑO!$J$331</c:f>
              <c:strCache>
                <c:ptCount val="1"/>
                <c:pt idx="0">
                  <c:v>OPTIMO &gt;= 41,7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NIÑO!$A$332:$A$340</c:f>
            </c:multiLvlStrRef>
          </c:cat>
          <c:val>
            <c:numRef>
              <c:f>NIÑO!$J$332:$J$340</c:f>
            </c:numRef>
          </c:val>
          <c:extLst>
            <c:ext xmlns:c16="http://schemas.microsoft.com/office/drawing/2014/chart" uri="{C3380CC4-5D6E-409C-BE32-E72D297353CC}">
              <c16:uniqueId val="{00000002-07C6-4F3A-BE2C-592E85CE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6464"/>
        <c:axId val="608006856"/>
      </c:barChart>
      <c:lineChart>
        <c:grouping val="standard"/>
        <c:varyColors val="0"/>
        <c:ser>
          <c:idx val="0"/>
          <c:order val="0"/>
          <c:tx>
            <c:strRef>
              <c:f>NIÑO!$E$331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NIÑO!$A$332:$A$340</c:f>
            </c:multiLvlStrRef>
          </c:cat>
          <c:val>
            <c:numRef>
              <c:f>NIÑO!$E$332:$E$340</c:f>
            </c:numRef>
          </c:val>
          <c:smooth val="0"/>
          <c:extLst>
            <c:ext xmlns:c16="http://schemas.microsoft.com/office/drawing/2014/chart" uri="{C3380CC4-5D6E-409C-BE32-E72D297353CC}">
              <c16:uniqueId val="{00000003-07C6-4F3A-BE2C-592E85CE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6464"/>
        <c:axId val="608006856"/>
      </c:lineChart>
      <c:catAx>
        <c:axId val="6080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6856"/>
        <c:crosses val="autoZero"/>
        <c:auto val="1"/>
        <c:lblAlgn val="ctr"/>
        <c:lblOffset val="1"/>
        <c:noMultiLvlLbl val="0"/>
      </c:catAx>
      <c:valAx>
        <c:axId val="6080068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646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NIÑO!$V$352</c:f>
          <c:strCache>
            <c:ptCount val="1"/>
            <c:pt idx="0">
              <c:v>RED. MOYOBAMBA:  18. NIÑOS DE  3 AÑO CONTROLADOS CRED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NIÑO!$H$353</c:f>
              <c:strCache>
                <c:ptCount val="1"/>
                <c:pt idx="0">
                  <c:v>DEFICIENTE &lt;= 37,5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NIÑO!$A$354:$A$362</c:f>
            </c:multiLvlStrRef>
          </c:cat>
          <c:val>
            <c:numRef>
              <c:f>NIÑO!$H$354:$H$362</c:f>
            </c:numRef>
          </c:val>
          <c:extLst>
            <c:ext xmlns:c16="http://schemas.microsoft.com/office/drawing/2014/chart" uri="{C3380CC4-5D6E-409C-BE32-E72D297353CC}">
              <c16:uniqueId val="{00000000-8646-4D3C-9070-035B0FA88C30}"/>
            </c:ext>
          </c:extLst>
        </c:ser>
        <c:ser>
          <c:idx val="2"/>
          <c:order val="2"/>
          <c:tx>
            <c:strRef>
              <c:f>NIÑO!$I$353</c:f>
              <c:strCache>
                <c:ptCount val="1"/>
                <c:pt idx="0">
                  <c:v>PROCESO &gt; 37,5  -  &lt; 41,7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NIÑO!$A$354:$A$362</c:f>
            </c:multiLvlStrRef>
          </c:cat>
          <c:val>
            <c:numRef>
              <c:f>NIÑO!$I$354:$I$362</c:f>
            </c:numRef>
          </c:val>
          <c:extLst>
            <c:ext xmlns:c16="http://schemas.microsoft.com/office/drawing/2014/chart" uri="{C3380CC4-5D6E-409C-BE32-E72D297353CC}">
              <c16:uniqueId val="{00000001-8646-4D3C-9070-035B0FA88C30}"/>
            </c:ext>
          </c:extLst>
        </c:ser>
        <c:ser>
          <c:idx val="3"/>
          <c:order val="3"/>
          <c:tx>
            <c:strRef>
              <c:f>NIÑO!$J$353</c:f>
              <c:strCache>
                <c:ptCount val="1"/>
                <c:pt idx="0">
                  <c:v>OPTIMO &gt;= 41,7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NIÑO!$A$354:$A$362</c:f>
            </c:multiLvlStrRef>
          </c:cat>
          <c:val>
            <c:numRef>
              <c:f>NIÑO!$J$354:$J$362</c:f>
            </c:numRef>
          </c:val>
          <c:extLst>
            <c:ext xmlns:c16="http://schemas.microsoft.com/office/drawing/2014/chart" uri="{C3380CC4-5D6E-409C-BE32-E72D297353CC}">
              <c16:uniqueId val="{00000002-8646-4D3C-9070-035B0FA88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7640"/>
        <c:axId val="608008032"/>
      </c:barChart>
      <c:lineChart>
        <c:grouping val="standard"/>
        <c:varyColors val="0"/>
        <c:ser>
          <c:idx val="0"/>
          <c:order val="0"/>
          <c:tx>
            <c:strRef>
              <c:f>NIÑO!$E$353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NIÑO!$A$354:$A$362</c:f>
            </c:multiLvlStrRef>
          </c:cat>
          <c:val>
            <c:numRef>
              <c:f>NIÑO!$E$354:$E$362</c:f>
            </c:numRef>
          </c:val>
          <c:smooth val="0"/>
          <c:extLst>
            <c:ext xmlns:c16="http://schemas.microsoft.com/office/drawing/2014/chart" uri="{C3380CC4-5D6E-409C-BE32-E72D297353CC}">
              <c16:uniqueId val="{00000003-8646-4D3C-9070-035B0FA88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7640"/>
        <c:axId val="608008032"/>
      </c:lineChart>
      <c:catAx>
        <c:axId val="608007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8032"/>
        <c:crosses val="autoZero"/>
        <c:auto val="1"/>
        <c:lblAlgn val="ctr"/>
        <c:lblOffset val="1"/>
        <c:noMultiLvlLbl val="0"/>
      </c:catAx>
      <c:valAx>
        <c:axId val="6080080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764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2110504061920191E-2"/>
          <c:y val="0.75230491571946057"/>
          <c:w val="0.95170319204396703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NIÑO!$V$372</c:f>
          <c:strCache>
            <c:ptCount val="1"/>
            <c:pt idx="0">
              <c:v>RED. MOYOBAMBA:  19. NIÑOS DE  4 AÑO CONTROLADOS CRED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NIÑO!$H$371</c:f>
              <c:strCache>
                <c:ptCount val="1"/>
                <c:pt idx="0">
                  <c:v>DEFICIENTE &lt;= 37,5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NIÑO!$A$372:$A$380</c:f>
            </c:multiLvlStrRef>
          </c:cat>
          <c:val>
            <c:numRef>
              <c:f>NIÑO!$H$372:$H$380</c:f>
            </c:numRef>
          </c:val>
          <c:extLst>
            <c:ext xmlns:c16="http://schemas.microsoft.com/office/drawing/2014/chart" uri="{C3380CC4-5D6E-409C-BE32-E72D297353CC}">
              <c16:uniqueId val="{00000000-5C69-4B2C-88FA-61B8156C565A}"/>
            </c:ext>
          </c:extLst>
        </c:ser>
        <c:ser>
          <c:idx val="2"/>
          <c:order val="2"/>
          <c:tx>
            <c:strRef>
              <c:f>NIÑO!$I$371</c:f>
              <c:strCache>
                <c:ptCount val="1"/>
                <c:pt idx="0">
                  <c:v>PROCESO &gt; 37,5  -  &lt; 41,7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NIÑO!$A$372:$A$380</c:f>
            </c:multiLvlStrRef>
          </c:cat>
          <c:val>
            <c:numRef>
              <c:f>NIÑO!$I$372:$I$380</c:f>
            </c:numRef>
          </c:val>
          <c:extLst>
            <c:ext xmlns:c16="http://schemas.microsoft.com/office/drawing/2014/chart" uri="{C3380CC4-5D6E-409C-BE32-E72D297353CC}">
              <c16:uniqueId val="{00000001-5C69-4B2C-88FA-61B8156C565A}"/>
            </c:ext>
          </c:extLst>
        </c:ser>
        <c:ser>
          <c:idx val="3"/>
          <c:order val="3"/>
          <c:tx>
            <c:strRef>
              <c:f>NIÑO!$J$371</c:f>
              <c:strCache>
                <c:ptCount val="1"/>
                <c:pt idx="0">
                  <c:v>OPTIMO &gt;= 41,7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NIÑO!$A$372:$A$380</c:f>
            </c:multiLvlStrRef>
          </c:cat>
          <c:val>
            <c:numRef>
              <c:f>NIÑO!$J$372:$J$380</c:f>
            </c:numRef>
          </c:val>
          <c:extLst>
            <c:ext xmlns:c16="http://schemas.microsoft.com/office/drawing/2014/chart" uri="{C3380CC4-5D6E-409C-BE32-E72D297353CC}">
              <c16:uniqueId val="{00000002-5C69-4B2C-88FA-61B8156C5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8816"/>
        <c:axId val="608009208"/>
      </c:barChart>
      <c:lineChart>
        <c:grouping val="standard"/>
        <c:varyColors val="0"/>
        <c:ser>
          <c:idx val="0"/>
          <c:order val="0"/>
          <c:tx>
            <c:strRef>
              <c:f>NIÑO!$E$371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NIÑO!$A$372:$A$380</c:f>
            </c:multiLvlStrRef>
          </c:cat>
          <c:val>
            <c:numRef>
              <c:f>NIÑO!$E$372:$E$380</c:f>
            </c:numRef>
          </c:val>
          <c:smooth val="0"/>
          <c:extLst>
            <c:ext xmlns:c16="http://schemas.microsoft.com/office/drawing/2014/chart" uri="{C3380CC4-5D6E-409C-BE32-E72D297353CC}">
              <c16:uniqueId val="{00000003-5C69-4B2C-88FA-61B8156C5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8816"/>
        <c:axId val="608009208"/>
      </c:lineChart>
      <c:catAx>
        <c:axId val="60800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9208"/>
        <c:crosses val="autoZero"/>
        <c:auto val="1"/>
        <c:lblAlgn val="ctr"/>
        <c:lblOffset val="1"/>
        <c:noMultiLvlLbl val="0"/>
      </c:catAx>
      <c:valAx>
        <c:axId val="6080092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881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1.8034864687970491E-2"/>
          <c:y val="0.75230491571946057"/>
          <c:w val="0.9578166511048914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NIÑO!$V$393</c:f>
          <c:strCache>
            <c:ptCount val="1"/>
            <c:pt idx="0">
              <c:v>RED. MOYOBAMBA:  20. NIÑOS DE  5-11 AÑO CONTROLADOS CRED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NIÑO!$H$393</c:f>
              <c:strCache>
                <c:ptCount val="1"/>
                <c:pt idx="0">
                  <c:v>DEFICIENTE &lt;= 37,5</c:v>
                </c:pt>
              </c:strCache>
            </c:strRef>
          </c:tx>
          <c:spPr>
            <a:gradFill rotWithShape="1">
              <a:gsLst>
                <a:gs pos="0">
                  <a:srgbClr val="C00000"/>
                </a:gs>
                <a:gs pos="35000">
                  <a:srgbClr val="FF000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FF000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NIÑO!$A$394:$A$402</c:f>
            </c:multiLvlStrRef>
          </c:cat>
          <c:val>
            <c:numRef>
              <c:f>NIÑO!$H$394:$H$402</c:f>
            </c:numRef>
          </c:val>
          <c:extLst>
            <c:ext xmlns:c16="http://schemas.microsoft.com/office/drawing/2014/chart" uri="{C3380CC4-5D6E-409C-BE32-E72D297353CC}">
              <c16:uniqueId val="{00000000-C36E-40E4-ACFD-CE94877F73A8}"/>
            </c:ext>
          </c:extLst>
        </c:ser>
        <c:ser>
          <c:idx val="2"/>
          <c:order val="2"/>
          <c:tx>
            <c:strRef>
              <c:f>NIÑO!$I$393</c:f>
              <c:strCache>
                <c:ptCount val="1"/>
                <c:pt idx="0">
                  <c:v>PROCESO &gt; 37,5  -  &lt; 41,7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NIÑO!$A$394:$A$402</c:f>
            </c:multiLvlStrRef>
          </c:cat>
          <c:val>
            <c:numRef>
              <c:f>NIÑO!$I$394:$I$402</c:f>
            </c:numRef>
          </c:val>
          <c:extLst>
            <c:ext xmlns:c16="http://schemas.microsoft.com/office/drawing/2014/chart" uri="{C3380CC4-5D6E-409C-BE32-E72D297353CC}">
              <c16:uniqueId val="{00000001-C36E-40E4-ACFD-CE94877F73A8}"/>
            </c:ext>
          </c:extLst>
        </c:ser>
        <c:ser>
          <c:idx val="3"/>
          <c:order val="3"/>
          <c:tx>
            <c:strRef>
              <c:f>NIÑO!$J$393</c:f>
              <c:strCache>
                <c:ptCount val="1"/>
                <c:pt idx="0">
                  <c:v>OPTIMO &gt;= 41,7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NIÑO!$A$394:$A$402</c:f>
            </c:multiLvlStrRef>
          </c:cat>
          <c:val>
            <c:numRef>
              <c:f>NIÑO!$J$394:$J$402</c:f>
            </c:numRef>
          </c:val>
          <c:extLst>
            <c:ext xmlns:c16="http://schemas.microsoft.com/office/drawing/2014/chart" uri="{C3380CC4-5D6E-409C-BE32-E72D297353CC}">
              <c16:uniqueId val="{00000002-C36E-40E4-ACFD-CE94877F7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9992"/>
        <c:axId val="608010384"/>
      </c:barChart>
      <c:lineChart>
        <c:grouping val="standard"/>
        <c:varyColors val="0"/>
        <c:ser>
          <c:idx val="0"/>
          <c:order val="0"/>
          <c:tx>
            <c:strRef>
              <c:f>NIÑO!$E$393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NIÑO!$A$394:$A$402</c:f>
            </c:multiLvlStrRef>
          </c:cat>
          <c:val>
            <c:numRef>
              <c:f>NIÑO!$E$394:$E$402</c:f>
            </c:numRef>
          </c:val>
          <c:smooth val="0"/>
          <c:extLst>
            <c:ext xmlns:c16="http://schemas.microsoft.com/office/drawing/2014/chart" uri="{C3380CC4-5D6E-409C-BE32-E72D297353CC}">
              <c16:uniqueId val="{00000003-C36E-40E4-ACFD-CE94877F7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9992"/>
        <c:axId val="608010384"/>
      </c:lineChart>
      <c:catAx>
        <c:axId val="60800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0384"/>
        <c:crosses val="autoZero"/>
        <c:auto val="1"/>
        <c:lblAlgn val="ctr"/>
        <c:lblOffset val="1"/>
        <c:noMultiLvlLbl val="0"/>
      </c:catAx>
      <c:valAx>
        <c:axId val="6080103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999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2110504061920191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NIÑO!$V$414</c:f>
          <c:strCache>
            <c:ptCount val="1"/>
            <c:pt idx="0">
              <c:v>RED. MOYOBAMBA:  21. CASOS DE EDAS EN MENORES DE 5 AÑOS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NIÑO!$H$413</c:f>
              <c:strCache>
                <c:ptCount val="1"/>
                <c:pt idx="0">
                  <c:v>ALERTA &gt;= 10,1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NIÑO!$A$414:$A$422</c:f>
            </c:multiLvlStrRef>
          </c:cat>
          <c:val>
            <c:numRef>
              <c:f>NIÑO!$H$414:$H$422</c:f>
            </c:numRef>
          </c:val>
          <c:extLst>
            <c:ext xmlns:c16="http://schemas.microsoft.com/office/drawing/2014/chart" uri="{C3380CC4-5D6E-409C-BE32-E72D297353CC}">
              <c16:uniqueId val="{00000000-661D-4907-B201-2B2FE38899C1}"/>
            </c:ext>
          </c:extLst>
        </c:ser>
        <c:ser>
          <c:idx val="2"/>
          <c:order val="1"/>
          <c:tx>
            <c:strRef>
              <c:f>NIÑO!$I$413</c:f>
              <c:strCache>
                <c:ptCount val="1"/>
                <c:pt idx="0">
                  <c:v>PROCESO &gt; 5  -  &lt; 10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NIÑO!$A$414:$A$422</c:f>
            </c:multiLvlStrRef>
          </c:cat>
          <c:val>
            <c:numRef>
              <c:f>NIÑO!$I$414:$I$422</c:f>
            </c:numRef>
          </c:val>
          <c:extLst>
            <c:ext xmlns:c16="http://schemas.microsoft.com/office/drawing/2014/chart" uri="{C3380CC4-5D6E-409C-BE32-E72D297353CC}">
              <c16:uniqueId val="{00000001-661D-4907-B201-2B2FE38899C1}"/>
            </c:ext>
          </c:extLst>
        </c:ser>
        <c:ser>
          <c:idx val="3"/>
          <c:order val="2"/>
          <c:tx>
            <c:strRef>
              <c:f>NIÑO!$J$413</c:f>
              <c:strCache>
                <c:ptCount val="1"/>
                <c:pt idx="0">
                  <c:v>SIN EDAS &lt;= 5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1D-4907-B201-2B2FE38899C1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NIÑO!$A$414:$A$422</c:f>
            </c:multiLvlStrRef>
          </c:cat>
          <c:val>
            <c:numRef>
              <c:f>NIÑO!$J$414:$J$422</c:f>
            </c:numRef>
          </c:val>
          <c:extLst>
            <c:ext xmlns:c16="http://schemas.microsoft.com/office/drawing/2014/chart" uri="{C3380CC4-5D6E-409C-BE32-E72D297353CC}">
              <c16:uniqueId val="{00000003-661D-4907-B201-2B2FE388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11168"/>
        <c:axId val="608011560"/>
      </c:barChart>
      <c:catAx>
        <c:axId val="6080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1560"/>
        <c:crosses val="autoZero"/>
        <c:auto val="1"/>
        <c:lblAlgn val="ctr"/>
        <c:lblOffset val="1"/>
        <c:noMultiLvlLbl val="0"/>
      </c:catAx>
      <c:valAx>
        <c:axId val="6080115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116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1.8034864687970491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NIÑO!$V$434</c:f>
          <c:strCache>
            <c:ptCount val="1"/>
            <c:pt idx="0">
              <c:v>RED. MOYOBAMBA:  22. CASOS DE EDAS COMPLICADAS EN MENORES DE 5 AÑOS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NIÑO!$H$434</c:f>
              <c:strCache>
                <c:ptCount val="1"/>
                <c:pt idx="0">
                  <c:v>ALERTA &gt; 5,1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NIÑO!$A$435:$A$443</c:f>
            </c:multiLvlStrRef>
          </c:cat>
          <c:val>
            <c:numRef>
              <c:f>NIÑO!$H$435:$H$443</c:f>
            </c:numRef>
          </c:val>
          <c:extLst>
            <c:ext xmlns:c16="http://schemas.microsoft.com/office/drawing/2014/chart" uri="{C3380CC4-5D6E-409C-BE32-E72D297353CC}">
              <c16:uniqueId val="{00000000-73C9-40FB-8E74-AB537784EEA7}"/>
            </c:ext>
          </c:extLst>
        </c:ser>
        <c:ser>
          <c:idx val="2"/>
          <c:order val="1"/>
          <c:tx>
            <c:strRef>
              <c:f>NIÑO!$I$434</c:f>
              <c:strCache>
                <c:ptCount val="1"/>
                <c:pt idx="0">
                  <c:v>PROCESO &gt; 0  -  &lt; 5,1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NIÑO!$A$435:$A$443</c:f>
            </c:multiLvlStrRef>
          </c:cat>
          <c:val>
            <c:numRef>
              <c:f>NIÑO!$I$435:$I$443</c:f>
            </c:numRef>
          </c:val>
          <c:extLst>
            <c:ext xmlns:c16="http://schemas.microsoft.com/office/drawing/2014/chart" uri="{C3380CC4-5D6E-409C-BE32-E72D297353CC}">
              <c16:uniqueId val="{00000001-73C9-40FB-8E74-AB537784EEA7}"/>
            </c:ext>
          </c:extLst>
        </c:ser>
        <c:ser>
          <c:idx val="3"/>
          <c:order val="2"/>
          <c:tx>
            <c:strRef>
              <c:f>NIÑO!$J$434</c:f>
              <c:strCache>
                <c:ptCount val="1"/>
                <c:pt idx="0">
                  <c:v>SIN EDAS COMPLICADAS &lt;= 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C9-40FB-8E74-AB537784EEA7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NIÑO!$A$435:$A$443</c:f>
            </c:multiLvlStrRef>
          </c:cat>
          <c:val>
            <c:numRef>
              <c:f>NIÑO!$J$435:$J$443</c:f>
            </c:numRef>
          </c:val>
          <c:extLst>
            <c:ext xmlns:c16="http://schemas.microsoft.com/office/drawing/2014/chart" uri="{C3380CC4-5D6E-409C-BE32-E72D297353CC}">
              <c16:uniqueId val="{00000003-73C9-40FB-8E74-AB537784E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12736"/>
        <c:axId val="608013128"/>
      </c:barChart>
      <c:catAx>
        <c:axId val="60801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3128"/>
        <c:crosses val="autoZero"/>
        <c:auto val="1"/>
        <c:lblAlgn val="ctr"/>
        <c:lblOffset val="1"/>
        <c:noMultiLvlLbl val="0"/>
      </c:catAx>
      <c:valAx>
        <c:axId val="6080131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273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NIÑO!$V$455</c:f>
          <c:strCache>
            <c:ptCount val="1"/>
            <c:pt idx="0">
              <c:v>RED. MOYOBAMBA:  23. CASOS DE NEUMONIAS EN MENORES DE 5 AÑOS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NIÑO!$H$454</c:f>
              <c:strCache>
                <c:ptCount val="1"/>
                <c:pt idx="0">
                  <c:v>ALERTA &gt; 10,1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NIÑO!$A$455:$A$463</c:f>
            </c:multiLvlStrRef>
          </c:cat>
          <c:val>
            <c:numRef>
              <c:f>NIÑO!$H$455:$H$463</c:f>
            </c:numRef>
          </c:val>
          <c:extLst>
            <c:ext xmlns:c16="http://schemas.microsoft.com/office/drawing/2014/chart" uri="{C3380CC4-5D6E-409C-BE32-E72D297353CC}">
              <c16:uniqueId val="{00000000-497C-4EA1-999E-85F9778FF013}"/>
            </c:ext>
          </c:extLst>
        </c:ser>
        <c:ser>
          <c:idx val="2"/>
          <c:order val="1"/>
          <c:tx>
            <c:strRef>
              <c:f>NIÑO!$I$454</c:f>
              <c:strCache>
                <c:ptCount val="1"/>
                <c:pt idx="0">
                  <c:v>PROCESO &gt; 5  -  &lt; 10,1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NIÑO!$A$455:$A$463</c:f>
            </c:multiLvlStrRef>
          </c:cat>
          <c:val>
            <c:numRef>
              <c:f>NIÑO!$I$455:$I$463</c:f>
            </c:numRef>
          </c:val>
          <c:extLst>
            <c:ext xmlns:c16="http://schemas.microsoft.com/office/drawing/2014/chart" uri="{C3380CC4-5D6E-409C-BE32-E72D297353CC}">
              <c16:uniqueId val="{00000001-497C-4EA1-999E-85F9778FF013}"/>
            </c:ext>
          </c:extLst>
        </c:ser>
        <c:ser>
          <c:idx val="3"/>
          <c:order val="2"/>
          <c:tx>
            <c:strRef>
              <c:f>NIÑO!$J$454</c:f>
              <c:strCache>
                <c:ptCount val="1"/>
                <c:pt idx="0">
                  <c:v>OPTIMO &lt;= 5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7C-4EA1-999E-85F9778FF013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NIÑO!$A$455:$A$463</c:f>
            </c:multiLvlStrRef>
          </c:cat>
          <c:val>
            <c:numRef>
              <c:f>NIÑO!$J$455:$J$463</c:f>
            </c:numRef>
          </c:val>
          <c:extLst>
            <c:ext xmlns:c16="http://schemas.microsoft.com/office/drawing/2014/chart" uri="{C3380CC4-5D6E-409C-BE32-E72D297353CC}">
              <c16:uniqueId val="{00000003-497C-4EA1-999E-85F9778FF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13520"/>
        <c:axId val="608013912"/>
      </c:barChart>
      <c:catAx>
        <c:axId val="60801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3912"/>
        <c:crosses val="autoZero"/>
        <c:auto val="1"/>
        <c:lblAlgn val="ctr"/>
        <c:lblOffset val="1"/>
        <c:noMultiLvlLbl val="0"/>
      </c:catAx>
      <c:valAx>
        <c:axId val="6080139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352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2110504061920191E-2"/>
          <c:y val="0.75230491571946057"/>
          <c:w val="0.9537410117309417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NIÑO!$V$474</c:f>
          <c:strCache>
            <c:ptCount val="1"/>
            <c:pt idx="0">
              <c:v>RED. MOYOBAMBA:  CASOS DE NEUMONIAS COMPLICADAS EN MENORES DE 5 AÑOS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[1]NIÑO!$H$474</c:f>
              <c:strCache>
                <c:ptCount val="1"/>
                <c:pt idx="0">
                  <c:v>ALERTA &gt; 5,1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[1]NIÑO!$A$475:$A$483</c:f>
              <c:strCache>
                <c:ptCount val="9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</c:strCache>
            </c:strRef>
          </c:cat>
          <c:val>
            <c:numRef>
              <c:f>[1]NIÑO!$H$475:$H$483</c:f>
              <c:numCache>
                <c:formatCode>General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3-4317-9A04-71B3674C0D7A}"/>
            </c:ext>
          </c:extLst>
        </c:ser>
        <c:ser>
          <c:idx val="2"/>
          <c:order val="1"/>
          <c:tx>
            <c:strRef>
              <c:f>[1]NIÑO!$I$474</c:f>
              <c:strCache>
                <c:ptCount val="1"/>
                <c:pt idx="0">
                  <c:v>PROCESO &gt; 0  -  &lt; 5,1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[1]NIÑO!$A$475:$A$483</c:f>
              <c:strCache>
                <c:ptCount val="9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</c:strCache>
            </c:strRef>
          </c:cat>
          <c:val>
            <c:numRef>
              <c:f>[1]NIÑO!$I$475:$I$483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23-4317-9A04-71B3674C0D7A}"/>
            </c:ext>
          </c:extLst>
        </c:ser>
        <c:ser>
          <c:idx val="3"/>
          <c:order val="2"/>
          <c:tx>
            <c:strRef>
              <c:f>[1]NIÑO!$J$474</c:f>
              <c:strCache>
                <c:ptCount val="1"/>
                <c:pt idx="0">
                  <c:v>SIN CASOS = 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3-4317-9A04-71B3674C0D7A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[1]NIÑO!$A$475:$A$483</c:f>
              <c:strCache>
                <c:ptCount val="9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</c:strCache>
            </c:strRef>
          </c:cat>
          <c:val>
            <c:numRef>
              <c:f>[1]NIÑO!$J$475:$J$483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3-4317-9A04-71B3674C0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14696"/>
        <c:axId val="608015088"/>
      </c:barChart>
      <c:catAx>
        <c:axId val="60801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5088"/>
        <c:crosses val="autoZero"/>
        <c:auto val="1"/>
        <c:lblAlgn val="ctr"/>
        <c:lblOffset val="1"/>
        <c:noMultiLvlLbl val="0"/>
      </c:catAx>
      <c:valAx>
        <c:axId val="6080150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469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NIÑO!$V$495</c:f>
          <c:strCache>
            <c:ptCount val="1"/>
            <c:pt idx="0">
              <c:v>RED. MOYOBAMBA:  SEGUIMIENTO DE CASOS DE NEUMONIAS &lt; 5 AÑOS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[1]NIÑO!$H$494</c:f>
              <c:strCache>
                <c:ptCount val="1"/>
                <c:pt idx="0">
                  <c:v>DEFICIENTE &lt; = 84.99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[1]NIÑO!$A$495:$A$503</c:f>
              <c:strCache>
                <c:ptCount val="9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</c:strCache>
            </c:strRef>
          </c:cat>
          <c:val>
            <c:numRef>
              <c:f>[1]NIÑO!$H$495:$H$503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3-465A-948A-1ABD548DCCE1}"/>
            </c:ext>
          </c:extLst>
        </c:ser>
        <c:ser>
          <c:idx val="2"/>
          <c:order val="2"/>
          <c:tx>
            <c:strRef>
              <c:f>[1]NIÑO!$I$494</c:f>
              <c:strCache>
                <c:ptCount val="1"/>
                <c:pt idx="0">
                  <c:v>PROCESO &gt; 84.99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[1]NIÑO!$A$495:$A$503</c:f>
              <c:strCache>
                <c:ptCount val="9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</c:strCache>
            </c:strRef>
          </c:cat>
          <c:val>
            <c:numRef>
              <c:f>[1]NIÑO!$I$495:$I$503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23-465A-948A-1ABD548DCCE1}"/>
            </c:ext>
          </c:extLst>
        </c:ser>
        <c:ser>
          <c:idx val="3"/>
          <c:order val="3"/>
          <c:tx>
            <c:strRef>
              <c:f>[1]NIÑO!$J$494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23-465A-948A-1ABD548DCCE1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[1]NIÑO!$A$495:$A$503</c:f>
              <c:strCache>
                <c:ptCount val="9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</c:strCache>
            </c:strRef>
          </c:cat>
          <c:val>
            <c:numRef>
              <c:f>[1]NIÑO!$J$495:$J$503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23-465A-948A-1ABD548DC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15872"/>
        <c:axId val="608016264"/>
      </c:barChart>
      <c:lineChart>
        <c:grouping val="standard"/>
        <c:varyColors val="0"/>
        <c:ser>
          <c:idx val="0"/>
          <c:order val="0"/>
          <c:tx>
            <c:strRef>
              <c:f>[1]NIÑO!$D$494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[1]NIÑO!$A$495:$A$503</c:f>
              <c:strCache>
                <c:ptCount val="9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</c:strCache>
            </c:strRef>
          </c:cat>
          <c:val>
            <c:numRef>
              <c:f>[1]NIÑO!$D$495:$D$503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23-465A-948A-1ABD548DC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15872"/>
        <c:axId val="608016264"/>
      </c:lineChart>
      <c:catAx>
        <c:axId val="60801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6264"/>
        <c:crosses val="autoZero"/>
        <c:auto val="1"/>
        <c:lblAlgn val="ctr"/>
        <c:lblOffset val="1"/>
        <c:noMultiLvlLbl val="0"/>
      </c:catAx>
      <c:valAx>
        <c:axId val="6080162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587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1.5997045000995639E-2"/>
          <c:y val="0.75230491571946057"/>
          <c:w val="0.96189229047884106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NIÑO!$V$106</c:f>
          <c:strCache>
            <c:ptCount val="1"/>
            <c:pt idx="0">
              <c:v>RED. MOYOBAMBA:  PORCENTAJE DE NIÑAS Y NIÑOS RECIEN NACIDOS DE PARTO INSTITUCIONALQUE RECIBEN VACUNAS COMPLETAS ANTES DEL ALTA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NIÑO!$H$106</c:f>
              <c:strCache>
                <c:ptCount val="1"/>
                <c:pt idx="0">
                  <c:v>DEFICIENTE &lt;= 37,5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NIÑO!$A$107:$A$116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NIÑO!$H$107:$H$116</c:f>
              <c:numCache>
                <c:formatCode>0.00</c:formatCode>
                <c:ptCount val="10"/>
                <c:pt idx="0">
                  <c:v>36.35</c:v>
                </c:pt>
                <c:pt idx="1">
                  <c:v>0</c:v>
                </c:pt>
                <c:pt idx="2">
                  <c:v>0.48</c:v>
                </c:pt>
                <c:pt idx="3">
                  <c:v>31.25</c:v>
                </c:pt>
                <c:pt idx="4">
                  <c:v>0.41</c:v>
                </c:pt>
                <c:pt idx="5">
                  <c:v>19.32</c:v>
                </c:pt>
                <c:pt idx="6">
                  <c:v>7.27</c:v>
                </c:pt>
                <c:pt idx="7">
                  <c:v>22.47</c:v>
                </c:pt>
                <c:pt idx="8">
                  <c:v>0.56999999999999995</c:v>
                </c:pt>
                <c:pt idx="9">
                  <c:v>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D-4DBE-9B39-CDE610D120D9}"/>
            </c:ext>
          </c:extLst>
        </c:ser>
        <c:ser>
          <c:idx val="2"/>
          <c:order val="2"/>
          <c:tx>
            <c:strRef>
              <c:f>NIÑO!$I$106</c:f>
              <c:strCache>
                <c:ptCount val="1"/>
                <c:pt idx="0">
                  <c:v>PROCESO &gt; 37,5  -  &lt; 41,7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NIÑO!$A$107:$A$116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NIÑO!$I$107:$I$116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D-4DBE-9B39-CDE610D120D9}"/>
            </c:ext>
          </c:extLst>
        </c:ser>
        <c:ser>
          <c:idx val="3"/>
          <c:order val="3"/>
          <c:tx>
            <c:strRef>
              <c:f>NIÑO!$J$106</c:f>
              <c:strCache>
                <c:ptCount val="1"/>
                <c:pt idx="0">
                  <c:v>OPTIMO &gt;= 41,7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1D-4DBE-9B39-CDE610D120D9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NIÑO!$A$107:$A$116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NIÑO!$J$107:$J$116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1D-4DBE-9B39-CDE610D1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2888"/>
        <c:axId val="488923280"/>
      </c:barChart>
      <c:lineChart>
        <c:grouping val="standard"/>
        <c:varyColors val="0"/>
        <c:ser>
          <c:idx val="0"/>
          <c:order val="0"/>
          <c:tx>
            <c:strRef>
              <c:f>NIÑO!$E$106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NIÑO!$A$107:$A$116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NIÑO!$E$107:$E$116</c:f>
              <c:numCache>
                <c:formatCode>0.0</c:formatCode>
                <c:ptCount val="10"/>
                <c:pt idx="0" formatCode="0">
                  <c:v>41.666666666666671</c:v>
                </c:pt>
                <c:pt idx="1">
                  <c:v>41.666666666666671</c:v>
                </c:pt>
                <c:pt idx="2">
                  <c:v>41.666666666666671</c:v>
                </c:pt>
                <c:pt idx="3">
                  <c:v>41.666666666666671</c:v>
                </c:pt>
                <c:pt idx="4">
                  <c:v>41.666666666666671</c:v>
                </c:pt>
                <c:pt idx="5">
                  <c:v>41.666666666666671</c:v>
                </c:pt>
                <c:pt idx="6">
                  <c:v>41.666666666666671</c:v>
                </c:pt>
                <c:pt idx="7">
                  <c:v>41.666666666666671</c:v>
                </c:pt>
                <c:pt idx="8">
                  <c:v>41.666666666666671</c:v>
                </c:pt>
                <c:pt idx="9">
                  <c:v>41.666666666666671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1D-4DBE-9B39-CDE610D1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22888"/>
        <c:axId val="488923280"/>
      </c:lineChart>
      <c:catAx>
        <c:axId val="48892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3280"/>
        <c:crosses val="autoZero"/>
        <c:auto val="1"/>
        <c:lblAlgn val="ctr"/>
        <c:lblOffset val="1"/>
        <c:noMultiLvlLbl val="0"/>
      </c:catAx>
      <c:valAx>
        <c:axId val="4889232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288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NIÑO!$V$538</c:f>
          <c:strCache>
            <c:ptCount val="1"/>
            <c:pt idx="0">
              <c:v>RED. MOYOBAMBA:  RECIEN NACIDOS PREMATUROS (&lt;37 SEMANAS)/ TOTAL DE RN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574893545755291E-2"/>
          <c:y val="0.17437468804245301"/>
          <c:w val="0.92542510645424469"/>
          <c:h val="0.710287791287600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[1]NIÑO!$B$537</c:f>
              <c:strCache>
                <c:ptCount val="1"/>
                <c:pt idx="0">
                  <c:v>CNV Total RN </c:v>
                </c:pt>
              </c:strCache>
            </c:strRef>
          </c:tx>
          <c:spPr>
            <a:gradFill rotWithShape="1">
              <a:gsLst>
                <a:gs pos="0">
                  <a:srgbClr val="0070C0"/>
                </a:gs>
                <a:gs pos="35000">
                  <a:srgbClr val="008DF6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70C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[1]NIÑO!$A$538:$A$547</c:f>
              <c:strCache>
                <c:ptCount val="10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  <c:pt idx="9">
                  <c:v>HOSP</c:v>
                </c:pt>
              </c:strCache>
            </c:strRef>
          </c:cat>
          <c:val>
            <c:numRef>
              <c:f>[1]NIÑO!$B$538:$B$547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B-4B2F-BF5D-97424BDB560B}"/>
            </c:ext>
          </c:extLst>
        </c:ser>
        <c:ser>
          <c:idx val="0"/>
          <c:order val="1"/>
          <c:tx>
            <c:strRef>
              <c:f>[1]NIÑO!$C$537</c:f>
              <c:strCache>
                <c:ptCount val="1"/>
                <c:pt idx="0">
                  <c:v>RN Prematuro &lt;37 S.</c:v>
                </c:pt>
              </c:strCache>
            </c:strRef>
          </c:tx>
          <c:spPr>
            <a:gradFill>
              <a:gsLst>
                <a:gs pos="0">
                  <a:schemeClr val="accent6">
                    <a:lumMod val="50000"/>
                  </a:schemeClr>
                </a:gs>
                <a:gs pos="43000">
                  <a:schemeClr val="accent6">
                    <a:lumMod val="75000"/>
                  </a:schemeClr>
                </a:gs>
                <a:gs pos="100000">
                  <a:schemeClr val="bg1"/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[1]NIÑO!$A$538:$A$547</c:f>
              <c:strCache>
                <c:ptCount val="10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  <c:pt idx="9">
                  <c:v>HOSP</c:v>
                </c:pt>
              </c:strCache>
            </c:strRef>
          </c:cat>
          <c:val>
            <c:numRef>
              <c:f>[1]NIÑO!$C$538:$C$547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EB-4B2F-BF5D-97424BDB5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4"/>
        <c:axId val="608017048"/>
        <c:axId val="608017440"/>
      </c:barChart>
      <c:catAx>
        <c:axId val="608017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7440"/>
        <c:crosses val="autoZero"/>
        <c:auto val="1"/>
        <c:lblAlgn val="ctr"/>
        <c:lblOffset val="1"/>
        <c:noMultiLvlLbl val="0"/>
      </c:catAx>
      <c:valAx>
        <c:axId val="6080174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704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NIÑO!$V$516</c:f>
          <c:strCache>
            <c:ptCount val="1"/>
            <c:pt idx="0">
              <c:v>RED. MOYOBAMBA:  RECIEN NACIDOS CON BAJO PESO AL NACER / TOTAL DE RN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574893545755291E-2"/>
          <c:y val="0.17437468804245301"/>
          <c:w val="0.92542510645424469"/>
          <c:h val="0.710287791287600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[1]NIÑO!$B$516</c:f>
              <c:strCache>
                <c:ptCount val="1"/>
                <c:pt idx="0">
                  <c:v>Total RN CNV</c:v>
                </c:pt>
              </c:strCache>
            </c:strRef>
          </c:tx>
          <c:spPr>
            <a:gradFill rotWithShape="1">
              <a:gsLst>
                <a:gs pos="0">
                  <a:srgbClr val="0070C0"/>
                </a:gs>
                <a:gs pos="35000">
                  <a:srgbClr val="008DF6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70C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[1]NIÑO!$A$517:$A$526</c:f>
              <c:strCache>
                <c:ptCount val="10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  <c:pt idx="9">
                  <c:v>HOSP</c:v>
                </c:pt>
              </c:strCache>
            </c:strRef>
          </c:cat>
          <c:val>
            <c:numRef>
              <c:f>[1]NIÑO!$B$517:$B$526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2-42E8-A1CD-2147426F6583}"/>
            </c:ext>
          </c:extLst>
        </c:ser>
        <c:ser>
          <c:idx val="0"/>
          <c:order val="1"/>
          <c:tx>
            <c:strRef>
              <c:f>[1]NIÑO!$C$516</c:f>
              <c:strCache>
                <c:ptCount val="1"/>
                <c:pt idx="0">
                  <c:v>RN con bajo peso al nacer</c:v>
                </c:pt>
              </c:strCache>
            </c:strRef>
          </c:tx>
          <c:spPr>
            <a:gradFill>
              <a:gsLst>
                <a:gs pos="0">
                  <a:schemeClr val="accent6">
                    <a:lumMod val="50000"/>
                  </a:schemeClr>
                </a:gs>
                <a:gs pos="43000">
                  <a:schemeClr val="accent6">
                    <a:lumMod val="75000"/>
                  </a:schemeClr>
                </a:gs>
                <a:gs pos="100000">
                  <a:schemeClr val="bg1"/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[1]NIÑO!$A$517:$A$526</c:f>
              <c:strCache>
                <c:ptCount val="10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  <c:pt idx="9">
                  <c:v>HOSP</c:v>
                </c:pt>
              </c:strCache>
            </c:strRef>
          </c:cat>
          <c:val>
            <c:numRef>
              <c:f>[1]NIÑO!$C$517:$C$526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2-42E8-A1CD-2147426F6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4"/>
        <c:axId val="608018224"/>
        <c:axId val="608018616"/>
      </c:barChart>
      <c:catAx>
        <c:axId val="60801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8616"/>
        <c:crosses val="autoZero"/>
        <c:auto val="1"/>
        <c:lblAlgn val="ctr"/>
        <c:lblOffset val="1"/>
        <c:noMultiLvlLbl val="0"/>
      </c:catAx>
      <c:valAx>
        <c:axId val="6080186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822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NIÑO!$V$65</c:f>
          <c:strCache>
            <c:ptCount val="1"/>
            <c:pt idx="0">
              <c:v>RED. MOYOBAMBA:  NIÑO  &lt; 1 AÑO CON CRED    COMPLETO PARA SU EDAD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NIÑO!$H$65</c:f>
              <c:strCache>
                <c:ptCount val="1"/>
                <c:pt idx="0">
                  <c:v>DEFICIENTE &lt;= 37,5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NIÑO!$H$66:$H$75</c:f>
              <c:numCache>
                <c:formatCode>0.00</c:formatCode>
                <c:ptCount val="9"/>
                <c:pt idx="0">
                  <c:v>11.15</c:v>
                </c:pt>
                <c:pt idx="1">
                  <c:v>8.85</c:v>
                </c:pt>
                <c:pt idx="2">
                  <c:v>17.2</c:v>
                </c:pt>
                <c:pt idx="3">
                  <c:v>21.94</c:v>
                </c:pt>
                <c:pt idx="4">
                  <c:v>8.52</c:v>
                </c:pt>
                <c:pt idx="5">
                  <c:v>15.08</c:v>
                </c:pt>
                <c:pt idx="6">
                  <c:v>4.8600000000000003</c:v>
                </c:pt>
                <c:pt idx="7">
                  <c:v>18.75</c:v>
                </c:pt>
                <c:pt idx="8">
                  <c:v>12.96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0-42F8-A486-904ED3B8ACE9}"/>
            </c:ext>
          </c:extLst>
        </c:ser>
        <c:ser>
          <c:idx val="2"/>
          <c:order val="2"/>
          <c:tx>
            <c:strRef>
              <c:f>NIÑO!$I$65</c:f>
              <c:strCache>
                <c:ptCount val="1"/>
                <c:pt idx="0">
                  <c:v>PROCESO &gt; 37,5  -  &lt; 41,7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NIÑO!$I$66:$I$75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0-42F8-A486-904ED3B8ACE9}"/>
            </c:ext>
          </c:extLst>
        </c:ser>
        <c:ser>
          <c:idx val="3"/>
          <c:order val="3"/>
          <c:tx>
            <c:strRef>
              <c:f>NIÑO!$J$65</c:f>
              <c:strCache>
                <c:ptCount val="1"/>
                <c:pt idx="0">
                  <c:v>OPTIMO &gt;= 41,7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50-42F8-A486-904ED3B8ACE9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NIÑO!$J$66:$J$75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50-42F8-A486-904ED3B8A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0280"/>
        <c:axId val="500650672"/>
      </c:barChart>
      <c:lineChart>
        <c:grouping val="standard"/>
        <c:varyColors val="0"/>
        <c:ser>
          <c:idx val="0"/>
          <c:order val="0"/>
          <c:tx>
            <c:strRef>
              <c:f>NIÑO!$E$65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NIÑO!$E$66:$E$75</c:f>
              <c:numCache>
                <c:formatCode>0.0</c:formatCode>
                <c:ptCount val="9"/>
                <c:pt idx="0" formatCode="0">
                  <c:v>41.666666666666671</c:v>
                </c:pt>
                <c:pt idx="1">
                  <c:v>41.666666666666671</c:v>
                </c:pt>
                <c:pt idx="2">
                  <c:v>41.666666666666671</c:v>
                </c:pt>
                <c:pt idx="3">
                  <c:v>41.666666666666671</c:v>
                </c:pt>
                <c:pt idx="4">
                  <c:v>41.666666666666671</c:v>
                </c:pt>
                <c:pt idx="5">
                  <c:v>41.666666666666671</c:v>
                </c:pt>
                <c:pt idx="6">
                  <c:v>41.666666666666671</c:v>
                </c:pt>
                <c:pt idx="7">
                  <c:v>41.666666666666671</c:v>
                </c:pt>
                <c:pt idx="8">
                  <c:v>41.666666666666671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50-42F8-A486-904ED3B8A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0280"/>
        <c:axId val="500650672"/>
      </c:lineChart>
      <c:catAx>
        <c:axId val="50065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0672"/>
        <c:crosses val="autoZero"/>
        <c:auto val="1"/>
        <c:lblAlgn val="ctr"/>
        <c:lblOffset val="1"/>
        <c:noMultiLvlLbl val="0"/>
      </c:catAx>
      <c:valAx>
        <c:axId val="5006506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028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NIÑO!$V$85</c:f>
          <c:strCache>
            <c:ptCount val="1"/>
            <c:pt idx="0">
              <c:v>RED. MOYOBAMBA:  NIÑOS MENORES DE 36 MESES CON CONTROLES CRED COMPLETO  PARA SU EDAD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NIÑO!$H$86</c:f>
              <c:strCache>
                <c:ptCount val="1"/>
                <c:pt idx="0">
                  <c:v>DEFICIENTE &lt;= 37,5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NIÑO!$A$87:$A$96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NIÑO!$H$87:$H$96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6-4542-BDEE-1C2B135FE06E}"/>
            </c:ext>
          </c:extLst>
        </c:ser>
        <c:ser>
          <c:idx val="2"/>
          <c:order val="2"/>
          <c:tx>
            <c:strRef>
              <c:f>NIÑO!$I$86</c:f>
              <c:strCache>
                <c:ptCount val="1"/>
                <c:pt idx="0">
                  <c:v>PROCESO &gt; 37,5  -  &lt; 41,7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NIÑO!$A$87:$A$96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NIÑO!$I$87:$I$96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6-4542-BDEE-1C2B135FE06E}"/>
            </c:ext>
          </c:extLst>
        </c:ser>
        <c:ser>
          <c:idx val="3"/>
          <c:order val="3"/>
          <c:tx>
            <c:strRef>
              <c:f>NIÑO!$J$86</c:f>
              <c:strCache>
                <c:ptCount val="1"/>
                <c:pt idx="0">
                  <c:v>OPTIMO &gt;= 41,7</c:v>
                </c:pt>
              </c:strCache>
            </c:strRef>
          </c:tx>
          <c:spPr>
            <a:gradFill rotWithShape="1">
              <a:gsLst>
                <a:gs pos="0">
                  <a:schemeClr val="bg1"/>
                </a:gs>
                <a:gs pos="67000">
                  <a:srgbClr val="00B050"/>
                </a:gs>
                <a:gs pos="100000">
                  <a:srgbClr val="008A3E"/>
                </a:gs>
              </a:gsLst>
              <a:lin ang="16200000" scaled="1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E6-4542-BDEE-1C2B135FE06E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NIÑO!$A$87:$A$96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NIÑO!$J$87:$J$96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E6-4542-BDEE-1C2B135FE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1456"/>
        <c:axId val="500651848"/>
      </c:barChart>
      <c:lineChart>
        <c:grouping val="standard"/>
        <c:varyColors val="0"/>
        <c:ser>
          <c:idx val="0"/>
          <c:order val="0"/>
          <c:tx>
            <c:strRef>
              <c:f>NIÑO!$E$86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NIÑO!$A$87:$A$96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NIÑO!$E$87:$E$96</c:f>
              <c:numCache>
                <c:formatCode>0.0</c:formatCode>
                <c:ptCount val="10"/>
                <c:pt idx="0" formatCode="0">
                  <c:v>41.666666666666671</c:v>
                </c:pt>
                <c:pt idx="1">
                  <c:v>41.666666666666671</c:v>
                </c:pt>
                <c:pt idx="2">
                  <c:v>41.666666666666671</c:v>
                </c:pt>
                <c:pt idx="3">
                  <c:v>41.666666666666671</c:v>
                </c:pt>
                <c:pt idx="4">
                  <c:v>41.666666666666671</c:v>
                </c:pt>
                <c:pt idx="5">
                  <c:v>41.666666666666671</c:v>
                </c:pt>
                <c:pt idx="6">
                  <c:v>41.666666666666671</c:v>
                </c:pt>
                <c:pt idx="7">
                  <c:v>41.666666666666671</c:v>
                </c:pt>
                <c:pt idx="8">
                  <c:v>41.666666666666671</c:v>
                </c:pt>
                <c:pt idx="9">
                  <c:v>41.666666666666671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E6-4542-BDEE-1C2B135FE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1456"/>
        <c:axId val="500651848"/>
      </c:lineChart>
      <c:catAx>
        <c:axId val="5006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1848"/>
        <c:crosses val="autoZero"/>
        <c:auto val="1"/>
        <c:lblAlgn val="ctr"/>
        <c:lblOffset val="1"/>
        <c:noMultiLvlLbl val="0"/>
      </c:catAx>
      <c:valAx>
        <c:axId val="5006518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145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2110500514108122E-2"/>
          <c:y val="0.75230491571946057"/>
          <c:w val="0.9557786780553492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NIÑO!$V$126</c:f>
          <c:strCache>
            <c:ptCount val="1"/>
            <c:pt idx="0">
              <c:v>RED. MOYOBAMBA:  NIÑO &lt;1 AÑO CON 2 ROTAVIRUS Y 2 NEUMOCOCO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NIÑO!$H$126</c:f>
              <c:strCache>
                <c:ptCount val="1"/>
                <c:pt idx="0">
                  <c:v>DEFICIENTE &lt;= 37,5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NIÑO!$A$127:$A$136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NIÑO!$H$127:$H$136</c:f>
              <c:numCache>
                <c:formatCode>0.00</c:formatCode>
                <c:ptCount val="10"/>
                <c:pt idx="0">
                  <c:v>29.83</c:v>
                </c:pt>
                <c:pt idx="1">
                  <c:v>0</c:v>
                </c:pt>
                <c:pt idx="2">
                  <c:v>29.6</c:v>
                </c:pt>
                <c:pt idx="3">
                  <c:v>0</c:v>
                </c:pt>
                <c:pt idx="4">
                  <c:v>29.59</c:v>
                </c:pt>
                <c:pt idx="5">
                  <c:v>33.06</c:v>
                </c:pt>
                <c:pt idx="6">
                  <c:v>34.64</c:v>
                </c:pt>
                <c:pt idx="7">
                  <c:v>21.62</c:v>
                </c:pt>
                <c:pt idx="8">
                  <c:v>15.97</c:v>
                </c:pt>
                <c:pt idx="9">
                  <c:v>23.46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1-4DD4-9D47-233CA555D0F8}"/>
            </c:ext>
          </c:extLst>
        </c:ser>
        <c:ser>
          <c:idx val="2"/>
          <c:order val="2"/>
          <c:tx>
            <c:strRef>
              <c:f>NIÑO!$I$126</c:f>
              <c:strCache>
                <c:ptCount val="1"/>
                <c:pt idx="0">
                  <c:v>PROCESO &gt; 37,5  -  &lt; 41,7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NIÑO!$A$127:$A$136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NIÑO!$I$127:$I$136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1-4DD4-9D47-233CA555D0F8}"/>
            </c:ext>
          </c:extLst>
        </c:ser>
        <c:ser>
          <c:idx val="3"/>
          <c:order val="3"/>
          <c:tx>
            <c:strRef>
              <c:f>NIÑO!$J$126</c:f>
              <c:strCache>
                <c:ptCount val="1"/>
                <c:pt idx="0">
                  <c:v>OPTIMO &gt;= 41,7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51-4DD4-9D47-233CA555D0F8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NIÑO!$A$127:$A$136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NIÑO!$J$127:$J$136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55.91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51-4DD4-9D47-233CA555D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2632"/>
        <c:axId val="500653024"/>
      </c:barChart>
      <c:lineChart>
        <c:grouping val="standard"/>
        <c:varyColors val="0"/>
        <c:ser>
          <c:idx val="0"/>
          <c:order val="0"/>
          <c:tx>
            <c:strRef>
              <c:f>NIÑO!$E$126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NIÑO!$A$127:$A$136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NIÑO!$E$127:$E$136</c:f>
              <c:numCache>
                <c:formatCode>0.0</c:formatCode>
                <c:ptCount val="10"/>
                <c:pt idx="0" formatCode="0">
                  <c:v>41.666666666666671</c:v>
                </c:pt>
                <c:pt idx="1">
                  <c:v>41.666666666666671</c:v>
                </c:pt>
                <c:pt idx="2">
                  <c:v>41.666666666666671</c:v>
                </c:pt>
                <c:pt idx="3">
                  <c:v>41.666666666666671</c:v>
                </c:pt>
                <c:pt idx="4">
                  <c:v>41.666666666666671</c:v>
                </c:pt>
                <c:pt idx="5">
                  <c:v>41.666666666666671</c:v>
                </c:pt>
                <c:pt idx="6">
                  <c:v>41.666666666666671</c:v>
                </c:pt>
                <c:pt idx="7">
                  <c:v>41.666666666666671</c:v>
                </c:pt>
                <c:pt idx="8">
                  <c:v>41.666666666666671</c:v>
                </c:pt>
                <c:pt idx="9">
                  <c:v>41.666666666666671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51-4DD4-9D47-233CA555D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2632"/>
        <c:axId val="500653024"/>
      </c:lineChart>
      <c:catAx>
        <c:axId val="50065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3024"/>
        <c:crosses val="autoZero"/>
        <c:auto val="1"/>
        <c:lblAlgn val="ctr"/>
        <c:lblOffset val="1"/>
        <c:noMultiLvlLbl val="0"/>
      </c:catAx>
      <c:valAx>
        <c:axId val="5006530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263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NIÑO!$V$146</c:f>
          <c:strCache>
            <c:ptCount val="1"/>
            <c:pt idx="0">
              <c:v>RED. MOYOBAMBA:  NIÑO &lt;1 AÑO CON 3 PENTAVALENTE Y 3 ANTIPOLIO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NIÑO!$H$147</c:f>
              <c:strCache>
                <c:ptCount val="1"/>
                <c:pt idx="0">
                  <c:v>DEFICIENTE &lt;= 37,5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NIÑO!$A$148:$A$157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NIÑO!$H$148:$H$157</c:f>
              <c:numCache>
                <c:formatCode>0.00</c:formatCode>
                <c:ptCount val="10"/>
                <c:pt idx="0">
                  <c:v>35.450000000000003</c:v>
                </c:pt>
                <c:pt idx="1">
                  <c:v>0</c:v>
                </c:pt>
                <c:pt idx="2">
                  <c:v>36.770000000000003</c:v>
                </c:pt>
                <c:pt idx="3">
                  <c:v>0</c:v>
                </c:pt>
                <c:pt idx="4">
                  <c:v>31.12</c:v>
                </c:pt>
                <c:pt idx="5">
                  <c:v>0</c:v>
                </c:pt>
                <c:pt idx="6">
                  <c:v>0</c:v>
                </c:pt>
                <c:pt idx="7">
                  <c:v>29.73</c:v>
                </c:pt>
                <c:pt idx="8">
                  <c:v>33.33</c:v>
                </c:pt>
                <c:pt idx="9">
                  <c:v>22.84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2-40D0-91FA-F22530ED9179}"/>
            </c:ext>
          </c:extLst>
        </c:ser>
        <c:ser>
          <c:idx val="2"/>
          <c:order val="2"/>
          <c:tx>
            <c:strRef>
              <c:f>NIÑO!$I$147</c:f>
              <c:strCache>
                <c:ptCount val="1"/>
                <c:pt idx="0">
                  <c:v>PROCESO &gt; 37,5  -  &lt; 41,7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NIÑO!$A$148:$A$157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NIÑO!$I$148:$I$157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38.25</c:v>
                </c:pt>
                <c:pt idx="6">
                  <c:v>38.549999999999997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2-40D0-91FA-F22530ED9179}"/>
            </c:ext>
          </c:extLst>
        </c:ser>
        <c:ser>
          <c:idx val="3"/>
          <c:order val="3"/>
          <c:tx>
            <c:strRef>
              <c:f>NIÑO!$J$147</c:f>
              <c:strCache>
                <c:ptCount val="1"/>
                <c:pt idx="0">
                  <c:v>OPTIMO &gt;= 41,7</c:v>
                </c:pt>
              </c:strCache>
            </c:strRef>
          </c:tx>
          <c:spPr>
            <a:gradFill rotWithShape="1">
              <a:gsLst>
                <a:gs pos="0">
                  <a:schemeClr val="bg1"/>
                </a:gs>
                <a:gs pos="67000">
                  <a:srgbClr val="00B050"/>
                </a:gs>
                <a:gs pos="100000">
                  <a:srgbClr val="008A3E"/>
                </a:gs>
              </a:gsLst>
              <a:lin ang="16200000" scaled="1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92-40D0-91FA-F22530ED9179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NIÑO!$A$148:$A$157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NIÑO!$J$148:$J$157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46.24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92-40D0-91FA-F22530ED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3808"/>
        <c:axId val="500654200"/>
      </c:barChart>
      <c:lineChart>
        <c:grouping val="standard"/>
        <c:varyColors val="0"/>
        <c:ser>
          <c:idx val="0"/>
          <c:order val="0"/>
          <c:tx>
            <c:strRef>
              <c:f>NIÑO!$E$147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NIÑO!$A$148:$A$157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NIÑO!$E$148:$E$157</c:f>
              <c:numCache>
                <c:formatCode>0.0</c:formatCode>
                <c:ptCount val="10"/>
                <c:pt idx="0" formatCode="0">
                  <c:v>41.666666666666671</c:v>
                </c:pt>
                <c:pt idx="1">
                  <c:v>41.666666666666671</c:v>
                </c:pt>
                <c:pt idx="2">
                  <c:v>41.666666666666671</c:v>
                </c:pt>
                <c:pt idx="3">
                  <c:v>41.666666666666671</c:v>
                </c:pt>
                <c:pt idx="4">
                  <c:v>41.666666666666671</c:v>
                </c:pt>
                <c:pt idx="5">
                  <c:v>41.666666666666671</c:v>
                </c:pt>
                <c:pt idx="6">
                  <c:v>41.666666666666671</c:v>
                </c:pt>
                <c:pt idx="7">
                  <c:v>41.666666666666671</c:v>
                </c:pt>
                <c:pt idx="8">
                  <c:v>41.666666666666671</c:v>
                </c:pt>
                <c:pt idx="9">
                  <c:v>41.666666666666671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92-40D0-91FA-F22530ED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3808"/>
        <c:axId val="500654200"/>
      </c:lineChart>
      <c:catAx>
        <c:axId val="50065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4200"/>
        <c:crosses val="autoZero"/>
        <c:auto val="1"/>
        <c:lblAlgn val="ctr"/>
        <c:lblOffset val="1"/>
        <c:noMultiLvlLbl val="0"/>
      </c:catAx>
      <c:valAx>
        <c:axId val="5006542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380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2110500514108122E-2"/>
          <c:y val="0.75230491571946057"/>
          <c:w val="0.9557786780553492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NIÑO!$V$24</c:f>
          <c:strCache>
            <c:ptCount val="1"/>
            <c:pt idx="0">
              <c:v>RED. MOYOBAMBA:  % DE RECIEN NACIDOS CON BAJO PESO AL NACER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NIÑO!$H$27</c:f>
              <c:strCache>
                <c:ptCount val="1"/>
                <c:pt idx="0">
                  <c:v>DEFICIENTE &gt;= 6,1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  <a:effectLst/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NIÑO!$A$28:$A$37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NIÑO!$H$28:$H$37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1-477C-8EC2-C7C90543EC78}"/>
            </c:ext>
          </c:extLst>
        </c:ser>
        <c:ser>
          <c:idx val="2"/>
          <c:order val="1"/>
          <c:tx>
            <c:strRef>
              <c:f>NIÑO!$I$27</c:f>
              <c:strCache>
                <c:ptCount val="1"/>
                <c:pt idx="0">
                  <c:v>PROCESO &gt; 0  -  &lt; 6,1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NIÑO!$A$28:$A$37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NIÑO!$I$28:$I$37</c:f>
              <c:numCache>
                <c:formatCode>0.00</c:formatCode>
                <c:ptCount val="10"/>
                <c:pt idx="0">
                  <c:v>1.92</c:v>
                </c:pt>
                <c:pt idx="1">
                  <c:v>0</c:v>
                </c:pt>
                <c:pt idx="2">
                  <c:v>1.6</c:v>
                </c:pt>
                <c:pt idx="3">
                  <c:v>0</c:v>
                </c:pt>
                <c:pt idx="4">
                  <c:v>0</c:v>
                </c:pt>
                <c:pt idx="5">
                  <c:v>1.19</c:v>
                </c:pt>
                <c:pt idx="6">
                  <c:v>0</c:v>
                </c:pt>
                <c:pt idx="7">
                  <c:v>3.52</c:v>
                </c:pt>
                <c:pt idx="8">
                  <c:v>0.56999999999999995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1-477C-8EC2-C7C90543EC78}"/>
            </c:ext>
          </c:extLst>
        </c:ser>
        <c:ser>
          <c:idx val="3"/>
          <c:order val="2"/>
          <c:tx>
            <c:strRef>
              <c:f>NIÑO!$J$27</c:f>
              <c:strCache>
                <c:ptCount val="1"/>
                <c:pt idx="0">
                  <c:v>OPTIMO &lt;= 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51-477C-8EC2-C7C90543EC78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NIÑO!$A$28:$A$37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NIÑO!$J$28:$J$37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1-477C-8EC2-C7C90543E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4984"/>
        <c:axId val="500655376"/>
      </c:barChart>
      <c:catAx>
        <c:axId val="50065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5376"/>
        <c:crosses val="autoZero"/>
        <c:auto val="1"/>
        <c:lblAlgn val="ctr"/>
        <c:lblOffset val="1"/>
        <c:noMultiLvlLbl val="0"/>
      </c:catAx>
      <c:valAx>
        <c:axId val="5006553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498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1.8034861794128255E-2"/>
          <c:y val="0.75230491571946057"/>
          <c:w val="0.88720011963764689"/>
          <c:h val="4.6101325944983174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NIÑO!$V$7</c:f>
          <c:strCache>
            <c:ptCount val="1"/>
            <c:pt idx="0">
              <c:v>RED. MOYOBAMBA:  RECIEN NACIDO  CON DOS  CONTROLES CRED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NIÑO!$H$6</c:f>
              <c:strCache>
                <c:ptCount val="1"/>
                <c:pt idx="0">
                  <c:v>DEFICIENTE &lt;= 37,5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  <a:effectLst/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NIÑO!$A$7:$A$16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NIÑO!$H$7:$H$16</c:f>
              <c:numCache>
                <c:formatCode>0.00</c:formatCode>
                <c:ptCount val="10"/>
                <c:pt idx="0">
                  <c:v>25.61</c:v>
                </c:pt>
                <c:pt idx="1">
                  <c:v>0</c:v>
                </c:pt>
                <c:pt idx="2">
                  <c:v>26</c:v>
                </c:pt>
                <c:pt idx="3">
                  <c:v>29.46</c:v>
                </c:pt>
                <c:pt idx="4">
                  <c:v>27.46</c:v>
                </c:pt>
                <c:pt idx="5">
                  <c:v>24.92</c:v>
                </c:pt>
                <c:pt idx="6">
                  <c:v>28.64</c:v>
                </c:pt>
                <c:pt idx="7">
                  <c:v>14.98</c:v>
                </c:pt>
                <c:pt idx="8">
                  <c:v>21.02</c:v>
                </c:pt>
                <c:pt idx="9">
                  <c:v>33.67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B-4379-ADAE-EB7AFD9DC0E9}"/>
            </c:ext>
          </c:extLst>
        </c:ser>
        <c:ser>
          <c:idx val="2"/>
          <c:order val="2"/>
          <c:tx>
            <c:strRef>
              <c:f>NIÑO!$I$6</c:f>
              <c:strCache>
                <c:ptCount val="1"/>
                <c:pt idx="0">
                  <c:v>PROCESO &gt; 37,5  -  &lt; 41,7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NIÑO!$A$7:$A$16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NIÑO!$I$7:$I$16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DB-4379-ADAE-EB7AFD9DC0E9}"/>
            </c:ext>
          </c:extLst>
        </c:ser>
        <c:ser>
          <c:idx val="3"/>
          <c:order val="3"/>
          <c:tx>
            <c:strRef>
              <c:f>NIÑO!$J$6</c:f>
              <c:strCache>
                <c:ptCount val="1"/>
                <c:pt idx="0">
                  <c:v>OPTIMO &gt;= 41,7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DB-4379-ADAE-EB7AFD9DC0E9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NIÑO!$A$7:$A$16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NIÑO!$J$7:$J$16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DB-4379-ADAE-EB7AFD9DC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4984"/>
        <c:axId val="500655376"/>
      </c:barChart>
      <c:lineChart>
        <c:grouping val="standard"/>
        <c:varyColors val="0"/>
        <c:ser>
          <c:idx val="0"/>
          <c:order val="0"/>
          <c:tx>
            <c:strRef>
              <c:f>NIÑO!$F$6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NIÑO!$A$7:$A$16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NIÑO!$F$7:$F$16</c:f>
              <c:numCache>
                <c:formatCode>0.0</c:formatCode>
                <c:ptCount val="10"/>
                <c:pt idx="0">
                  <c:v>41.666666666666671</c:v>
                </c:pt>
                <c:pt idx="1">
                  <c:v>41.666666666666671</c:v>
                </c:pt>
                <c:pt idx="2">
                  <c:v>41.666666666666671</c:v>
                </c:pt>
                <c:pt idx="3">
                  <c:v>41.666666666666671</c:v>
                </c:pt>
                <c:pt idx="4">
                  <c:v>41.666666666666671</c:v>
                </c:pt>
                <c:pt idx="5">
                  <c:v>41.666666666666671</c:v>
                </c:pt>
                <c:pt idx="6">
                  <c:v>41.666666666666671</c:v>
                </c:pt>
                <c:pt idx="7">
                  <c:v>41.666666666666671</c:v>
                </c:pt>
                <c:pt idx="8">
                  <c:v>41.666666666666671</c:v>
                </c:pt>
                <c:pt idx="9">
                  <c:v>41.666666666666671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DB-4379-ADAE-EB7AFD9DC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4984"/>
        <c:axId val="500655376"/>
      </c:lineChart>
      <c:catAx>
        <c:axId val="50065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5376"/>
        <c:crosses val="autoZero"/>
        <c:auto val="1"/>
        <c:lblAlgn val="ctr"/>
        <c:lblOffset val="1"/>
        <c:noMultiLvlLbl val="0"/>
      </c:catAx>
      <c:valAx>
        <c:axId val="5006553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498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1.8034861794128255E-2"/>
          <c:y val="0.75230491571946057"/>
          <c:w val="0.88720011963764689"/>
          <c:h val="4.6101325944983174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NUTRICION!$V$7</c:f>
          <c:strCache>
            <c:ptCount val="1"/>
            <c:pt idx="0">
              <c:v>RED. MOYOBAMBA:   PROPORCIÓN DE NIÑOS  MENORES DE 5 AÑOS  DE EDAD CON DCI 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NUTRICION!$H$6</c:f>
              <c:strCache>
                <c:ptCount val="1"/>
                <c:pt idx="0">
                  <c:v>DEFICIENTE &gt;= 8,1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NUTRICION!$A$7:$A$16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NUTRICION!$H$7:$H$16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C-4767-B196-60AA50588BC4}"/>
            </c:ext>
          </c:extLst>
        </c:ser>
        <c:ser>
          <c:idx val="2"/>
          <c:order val="1"/>
          <c:tx>
            <c:strRef>
              <c:f>NUTRICION!$I$6</c:f>
              <c:strCache>
                <c:ptCount val="1"/>
                <c:pt idx="0">
                  <c:v>PROCESO &gt; 6,4  -  &lt; 8,1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NUTRICION!$A$7:$A$16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NUTRICION!$I$7:$I$16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C-4767-B196-60AA50588BC4}"/>
            </c:ext>
          </c:extLst>
        </c:ser>
        <c:ser>
          <c:idx val="3"/>
          <c:order val="2"/>
          <c:tx>
            <c:strRef>
              <c:f>NUTRICION!$J$6</c:f>
              <c:strCache>
                <c:ptCount val="1"/>
                <c:pt idx="0">
                  <c:v>OPTIMO &lt;= 6,4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3C-4767-B196-60AA50588BC4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NUTRICION!$A$7:$A$16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NUTRICION!$J$7:$J$16</c:f>
              <c:numCache>
                <c:formatCode>0</c:formatCode>
                <c:ptCount val="9"/>
                <c:pt idx="0">
                  <c:v>1.6326530612244898</c:v>
                </c:pt>
                <c:pt idx="1">
                  <c:v>0.22371364653243847</c:v>
                </c:pt>
                <c:pt idx="2">
                  <c:v>0</c:v>
                </c:pt>
                <c:pt idx="3">
                  <c:v>3.217821782178218</c:v>
                </c:pt>
                <c:pt idx="4">
                  <c:v>5.4545454545454541</c:v>
                </c:pt>
                <c:pt idx="5">
                  <c:v>0.46403712296983757</c:v>
                </c:pt>
                <c:pt idx="6">
                  <c:v>0</c:v>
                </c:pt>
                <c:pt idx="7">
                  <c:v>0</c:v>
                </c:pt>
                <c:pt idx="8">
                  <c:v>2.535211267605634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3C-4767-B196-60AA50588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0659688"/>
        <c:axId val="500660080"/>
      </c:barChart>
      <c:catAx>
        <c:axId val="50065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0080"/>
        <c:crosses val="autoZero"/>
        <c:auto val="1"/>
        <c:lblAlgn val="ctr"/>
        <c:lblOffset val="1"/>
        <c:noMultiLvlLbl val="0"/>
      </c:catAx>
      <c:valAx>
        <c:axId val="5006600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968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223958594077933E-2"/>
          <c:y val="0.75230491571946057"/>
          <c:w val="0.94151394253541953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NUTRICION!$V$24</c:f>
          <c:strCache>
            <c:ptCount val="1"/>
            <c:pt idx="0">
              <c:v>RED. MOYOBAMBA:  PROPORCIÓN DE NIÑOS DE 6 A 35 MESES  DE EDAD CON AMENIA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NUTRICION!$H$25</c:f>
              <c:strCache>
                <c:ptCount val="1"/>
                <c:pt idx="0">
                  <c:v>DEFICIENTE &gt;= 23,8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NUTRICION!$A$26:$A$35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NUTRICION!$H$26:$H$35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25.789473684210527</c:v>
                </c:pt>
                <c:pt idx="8">
                  <c:v>27.053140096618357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B-460F-B36C-909306FBD83E}"/>
            </c:ext>
          </c:extLst>
        </c:ser>
        <c:ser>
          <c:idx val="2"/>
          <c:order val="1"/>
          <c:tx>
            <c:strRef>
              <c:f>NUTRICION!$I$25</c:f>
              <c:strCache>
                <c:ptCount val="1"/>
                <c:pt idx="0">
                  <c:v>PROCESO &gt; 19  -  &lt; 23,8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NUTRICION!$A$26:$A$35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NUTRICION!$I$26:$I$35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B-460F-B36C-909306FBD83E}"/>
            </c:ext>
          </c:extLst>
        </c:ser>
        <c:ser>
          <c:idx val="3"/>
          <c:order val="2"/>
          <c:tx>
            <c:strRef>
              <c:f>NUTRICION!$J$25</c:f>
              <c:strCache>
                <c:ptCount val="1"/>
                <c:pt idx="0">
                  <c:v>OPTIMO &lt;= 19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NUTRICION!$A$26:$A$35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NUTRICION!$J$26:$J$35</c:f>
              <c:numCache>
                <c:formatCode>0</c:formatCode>
                <c:ptCount val="9"/>
                <c:pt idx="0">
                  <c:v>11.566571337782015</c:v>
                </c:pt>
                <c:pt idx="1">
                  <c:v>11.290322580645162</c:v>
                </c:pt>
                <c:pt idx="2">
                  <c:v>13.492063492063492</c:v>
                </c:pt>
                <c:pt idx="3">
                  <c:v>17.721518987341771</c:v>
                </c:pt>
                <c:pt idx="4">
                  <c:v>0.97879282218597063</c:v>
                </c:pt>
                <c:pt idx="5">
                  <c:v>8.6065573770491799</c:v>
                </c:pt>
                <c:pt idx="6">
                  <c:v>8.7719298245614041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7B-460F-B36C-909306FBD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0663216"/>
        <c:axId val="500663608"/>
      </c:barChart>
      <c:catAx>
        <c:axId val="50066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3608"/>
        <c:crosses val="autoZero"/>
        <c:auto val="1"/>
        <c:lblAlgn val="ctr"/>
        <c:lblOffset val="1"/>
        <c:noMultiLvlLbl val="0"/>
      </c:catAx>
      <c:valAx>
        <c:axId val="5006636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321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223958594077933E-2"/>
          <c:y val="0.75230491571946057"/>
          <c:w val="0.93947612317542961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NIÑO!$V$167</c:f>
          <c:strCache>
            <c:ptCount val="1"/>
            <c:pt idx="0">
              <c:v>RED. MOYOBAMBA:  NIÑO 1 AÑO CON 3 NEUMOCOCO Y 1 SPR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NIÑO!$H$168</c:f>
              <c:strCache>
                <c:ptCount val="1"/>
                <c:pt idx="0">
                  <c:v>DEFICIENTE &lt;= 37,5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NIÑO!$A$169:$A$178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NIÑO!$H$169:$H$178</c:f>
              <c:numCache>
                <c:formatCode>0.00</c:formatCode>
                <c:ptCount val="10"/>
                <c:pt idx="0">
                  <c:v>31.94</c:v>
                </c:pt>
                <c:pt idx="1">
                  <c:v>0</c:v>
                </c:pt>
                <c:pt idx="2">
                  <c:v>33.76</c:v>
                </c:pt>
                <c:pt idx="3">
                  <c:v>25.77</c:v>
                </c:pt>
                <c:pt idx="4">
                  <c:v>33.15</c:v>
                </c:pt>
                <c:pt idx="5">
                  <c:v>33.950000000000003</c:v>
                </c:pt>
                <c:pt idx="6">
                  <c:v>0</c:v>
                </c:pt>
                <c:pt idx="7">
                  <c:v>22.75</c:v>
                </c:pt>
                <c:pt idx="8">
                  <c:v>27.81</c:v>
                </c:pt>
                <c:pt idx="9">
                  <c:v>19.38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9-452D-8864-51A7CD473346}"/>
            </c:ext>
          </c:extLst>
        </c:ser>
        <c:ser>
          <c:idx val="2"/>
          <c:order val="2"/>
          <c:tx>
            <c:strRef>
              <c:f>NIÑO!$I$168</c:f>
              <c:strCache>
                <c:ptCount val="1"/>
                <c:pt idx="0">
                  <c:v>PROCESO &gt; 37,5  -  &lt; 41,7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NIÑO!$A$169:$A$178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NIÑO!$I$169:$I$178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41.18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9-452D-8864-51A7CD473346}"/>
            </c:ext>
          </c:extLst>
        </c:ser>
        <c:ser>
          <c:idx val="3"/>
          <c:order val="3"/>
          <c:tx>
            <c:strRef>
              <c:f>NIÑO!$J$168</c:f>
              <c:strCache>
                <c:ptCount val="1"/>
                <c:pt idx="0">
                  <c:v>OPTIMO &gt;= 41,7</c:v>
                </c:pt>
              </c:strCache>
            </c:strRef>
          </c:tx>
          <c:spPr>
            <a:gradFill rotWithShape="1">
              <a:gsLst>
                <a:gs pos="0">
                  <a:schemeClr val="bg1"/>
                </a:gs>
                <a:gs pos="67000">
                  <a:srgbClr val="00B050"/>
                </a:gs>
                <a:gs pos="100000">
                  <a:srgbClr val="008A3E"/>
                </a:gs>
              </a:gsLst>
              <a:lin ang="16200000" scaled="1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D9-452D-8864-51A7CD473346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NIÑO!$A$169:$A$178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NIÑO!$J$169:$J$178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D9-452D-8864-51A7CD473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4064"/>
        <c:axId val="488924456"/>
      </c:barChart>
      <c:lineChart>
        <c:grouping val="standard"/>
        <c:varyColors val="0"/>
        <c:ser>
          <c:idx val="0"/>
          <c:order val="0"/>
          <c:tx>
            <c:strRef>
              <c:f>NIÑO!$E$168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NIÑO!$A$169:$A$178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NIÑO!$E$169:$E$178</c:f>
              <c:numCache>
                <c:formatCode>0.0</c:formatCode>
                <c:ptCount val="10"/>
                <c:pt idx="0" formatCode="0">
                  <c:v>41.666666666666671</c:v>
                </c:pt>
                <c:pt idx="1">
                  <c:v>41.666666666666671</c:v>
                </c:pt>
                <c:pt idx="2">
                  <c:v>41.666666666666671</c:v>
                </c:pt>
                <c:pt idx="3">
                  <c:v>41.666666666666671</c:v>
                </c:pt>
                <c:pt idx="4">
                  <c:v>41.666666666666671</c:v>
                </c:pt>
                <c:pt idx="5">
                  <c:v>41.666666666666671</c:v>
                </c:pt>
                <c:pt idx="6">
                  <c:v>41.666666666666671</c:v>
                </c:pt>
                <c:pt idx="7">
                  <c:v>41.666666666666671</c:v>
                </c:pt>
                <c:pt idx="8">
                  <c:v>41.666666666666671</c:v>
                </c:pt>
                <c:pt idx="9">
                  <c:v>41.666666666666671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D9-452D-8864-51A7CD473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24064"/>
        <c:axId val="488924456"/>
      </c:lineChart>
      <c:catAx>
        <c:axId val="48892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4456"/>
        <c:crosses val="autoZero"/>
        <c:auto val="1"/>
        <c:lblAlgn val="ctr"/>
        <c:lblOffset val="1"/>
        <c:noMultiLvlLbl val="0"/>
      </c:catAx>
      <c:valAx>
        <c:axId val="4889244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406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2110500514108122E-2"/>
          <c:y val="0.75230491571946057"/>
          <c:w val="0.9557786780553492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NUTRICION!$V$44</c:f>
          <c:strCache>
            <c:ptCount val="1"/>
            <c:pt idx="0">
              <c:v>RED. MOYOBAMBA:  NIÑOS DE 4 MESES QUE  INICIAN SUMPLEMENTACIÓN CON HIERRO EN GOTAS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NUTRICION!$H$44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NUTRICION!$A$45:$A$54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NUTRICION!$H$45:$H$54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81.8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78.900000000000006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E-41D4-ABA4-D8152ABAAE1E}"/>
            </c:ext>
          </c:extLst>
        </c:ser>
        <c:ser>
          <c:idx val="2"/>
          <c:order val="2"/>
          <c:tx>
            <c:strRef>
              <c:f>NUTRICION!$I$44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NUTRICION!$A$45:$A$54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NUTRICION!$I$45:$I$54</c:f>
              <c:numCache>
                <c:formatCode>0.00</c:formatCode>
                <c:ptCount val="9"/>
                <c:pt idx="0">
                  <c:v>0</c:v>
                </c:pt>
                <c:pt idx="1">
                  <c:v>94.2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E-41D4-ABA4-D8152ABAAE1E}"/>
            </c:ext>
          </c:extLst>
        </c:ser>
        <c:ser>
          <c:idx val="3"/>
          <c:order val="3"/>
          <c:tx>
            <c:strRef>
              <c:f>NUTRICION!$J$44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7E-41D4-ABA4-D8152ABAAE1E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NUTRICION!$A$45:$A$54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NUTRICION!$J$45:$J$54</c:f>
              <c:numCache>
                <c:formatCode>0</c:formatCode>
                <c:ptCount val="9"/>
                <c:pt idx="0">
                  <c:v>103.8</c:v>
                </c:pt>
                <c:pt idx="1">
                  <c:v>0</c:v>
                </c:pt>
                <c:pt idx="2">
                  <c:v>143.19999999999999</c:v>
                </c:pt>
                <c:pt idx="3">
                  <c:v>0</c:v>
                </c:pt>
                <c:pt idx="4">
                  <c:v>128</c:v>
                </c:pt>
                <c:pt idx="5">
                  <c:v>115.5</c:v>
                </c:pt>
                <c:pt idx="6">
                  <c:v>101.4</c:v>
                </c:pt>
                <c:pt idx="7">
                  <c:v>0</c:v>
                </c:pt>
                <c:pt idx="8">
                  <c:v>107.8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7E-41D4-ABA4-D8152ABAA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0664392"/>
        <c:axId val="500664784"/>
      </c:barChart>
      <c:lineChart>
        <c:grouping val="standard"/>
        <c:varyColors val="0"/>
        <c:ser>
          <c:idx val="0"/>
          <c:order val="0"/>
          <c:tx>
            <c:strRef>
              <c:f>NUTRICION!$E$44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NUTRICION!$A$45:$A$54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NUTRICION!$E$45:$E$54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7E-41D4-ABA4-D8152ABAA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64392"/>
        <c:axId val="500664784"/>
      </c:lineChart>
      <c:catAx>
        <c:axId val="50066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4784"/>
        <c:crosses val="autoZero"/>
        <c:auto val="1"/>
        <c:lblAlgn val="ctr"/>
        <c:lblOffset val="1"/>
        <c:noMultiLvlLbl val="0"/>
      </c:catAx>
      <c:valAx>
        <c:axId val="5006647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439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223963122844739E-2"/>
          <c:y val="0.75230491571946057"/>
          <c:w val="0.94355191329606747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NUTRICION!$V$86</c:f>
          <c:strCache>
            <c:ptCount val="1"/>
            <c:pt idx="0">
              <c:v>RED. MOYOBAMBA:  NIÑOS  DE 24 MESES DE EDAD CON SUPLEMENTO DE HIERRO Y OTROS MICRONUTRIENTES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NUTRICION!$H$86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NUTRICION!$A$87:$A$96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NUTRICION!$H$87:$H$96</c:f>
              <c:numCache>
                <c:formatCode>0.00</c:formatCode>
                <c:ptCount val="9"/>
                <c:pt idx="0">
                  <c:v>7.2</c:v>
                </c:pt>
                <c:pt idx="1">
                  <c:v>2.9</c:v>
                </c:pt>
                <c:pt idx="2">
                  <c:v>6.3</c:v>
                </c:pt>
                <c:pt idx="3">
                  <c:v>38.9</c:v>
                </c:pt>
                <c:pt idx="4">
                  <c:v>2.8</c:v>
                </c:pt>
                <c:pt idx="5">
                  <c:v>16.100000000000001</c:v>
                </c:pt>
                <c:pt idx="6">
                  <c:v>3.6</c:v>
                </c:pt>
                <c:pt idx="7">
                  <c:v>6.7</c:v>
                </c:pt>
                <c:pt idx="8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FA4-9C76-D2822DE1DCD9}"/>
            </c:ext>
          </c:extLst>
        </c:ser>
        <c:ser>
          <c:idx val="2"/>
          <c:order val="2"/>
          <c:tx>
            <c:strRef>
              <c:f>NUTRICION!$I$86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NUTRICION!$A$87:$A$96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NUTRICION!$I$87:$I$96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FA4-9C76-D2822DE1DCD9}"/>
            </c:ext>
          </c:extLst>
        </c:ser>
        <c:ser>
          <c:idx val="3"/>
          <c:order val="3"/>
          <c:tx>
            <c:strRef>
              <c:f>NUTRICION!$J$86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16200000" scaled="1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NUTRICION!$A$87:$A$96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NUTRICION!$J$87:$J$96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FA4-9C76-D2822DE1D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0665568"/>
        <c:axId val="733397528"/>
      </c:barChart>
      <c:lineChart>
        <c:grouping val="standard"/>
        <c:varyColors val="0"/>
        <c:ser>
          <c:idx val="0"/>
          <c:order val="0"/>
          <c:tx>
            <c:strRef>
              <c:f>NUTRICION!$E$86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NUTRICION!$A$87:$A$96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NUTRICION!$E$87:$E$96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6F-4FA4-9C76-D2822DE1D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65568"/>
        <c:axId val="733397528"/>
      </c:lineChart>
      <c:catAx>
        <c:axId val="5006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397528"/>
        <c:crosses val="autoZero"/>
        <c:auto val="1"/>
        <c:lblAlgn val="ctr"/>
        <c:lblOffset val="1"/>
        <c:noMultiLvlLbl val="0"/>
      </c:catAx>
      <c:valAx>
        <c:axId val="7333975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556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6186143435869891E-2"/>
          <c:y val="0.75230491571946057"/>
          <c:w val="0.9476275526700173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NUTRICION!$V$127</c:f>
          <c:strCache>
            <c:ptCount val="1"/>
            <c:pt idx="0">
              <c:v>RED. MOYOBAMBA:  NIÑOS MENORES DE UN AÑO  ( 6 A 11 MESES) CON  SUPLEMENTO DE VITAMINA A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NUTRICION!$H$127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NUTRICION!$A$128:$A$137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NUTRICION!$H$128:$H$137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5-4992-A9E3-F5FFDC6C169F}"/>
            </c:ext>
          </c:extLst>
        </c:ser>
        <c:ser>
          <c:idx val="2"/>
          <c:order val="2"/>
          <c:tx>
            <c:strRef>
              <c:f>NUTRICION!$I$127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NUTRICION!$A$128:$A$137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NUTRICION!$I$128:$I$137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F5-4992-A9E3-F5FFDC6C169F}"/>
            </c:ext>
          </c:extLst>
        </c:ser>
        <c:ser>
          <c:idx val="3"/>
          <c:order val="3"/>
          <c:tx>
            <c:strRef>
              <c:f>NUTRICION!$J$127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F5-4992-A9E3-F5FFDC6C169F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NUTRICION!$A$128:$A$137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NUTRICION!$J$128:$J$137</c:f>
              <c:numCache>
                <c:formatCode>0</c:formatCode>
                <c:ptCount val="9"/>
                <c:pt idx="0">
                  <c:v>178.5</c:v>
                </c:pt>
                <c:pt idx="1">
                  <c:v>215.6</c:v>
                </c:pt>
                <c:pt idx="2">
                  <c:v>108.3</c:v>
                </c:pt>
                <c:pt idx="3">
                  <c:v>144</c:v>
                </c:pt>
                <c:pt idx="4">
                  <c:v>0</c:v>
                </c:pt>
                <c:pt idx="5">
                  <c:v>382.6</c:v>
                </c:pt>
                <c:pt idx="6">
                  <c:v>229.2</c:v>
                </c:pt>
                <c:pt idx="7">
                  <c:v>294.39999999999998</c:v>
                </c:pt>
                <c:pt idx="8">
                  <c:v>171.4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F5-4992-A9E3-F5FFDC6C1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398312"/>
        <c:axId val="733398704"/>
      </c:barChart>
      <c:lineChart>
        <c:grouping val="standard"/>
        <c:varyColors val="0"/>
        <c:ser>
          <c:idx val="0"/>
          <c:order val="0"/>
          <c:tx>
            <c:strRef>
              <c:f>NUTRICION!$E$127</c:f>
              <c:strCache>
                <c:ptCount val="1"/>
                <c:pt idx="0">
                  <c:v>META</c:v>
                </c:pt>
              </c:strCache>
            </c:strRef>
          </c:tx>
          <c:spPr>
            <a:ln w="15875"/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0067B4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NUTRICION!$A$128:$A$137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NUTRICION!$E$128:$E$137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9-499A-93A8-E5A481CB4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8312"/>
        <c:axId val="733398704"/>
      </c:lineChart>
      <c:catAx>
        <c:axId val="73339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398704"/>
        <c:crosses val="autoZero"/>
        <c:auto val="1"/>
        <c:lblAlgn val="ctr"/>
        <c:lblOffset val="1"/>
        <c:noMultiLvlLbl val="0"/>
      </c:catAx>
      <c:valAx>
        <c:axId val="7333987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39831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148323748895039E-2"/>
          <c:y val="0.75230491571946057"/>
          <c:w val="0.80239424721849784"/>
          <c:h val="4.8436461074138883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NUTRICION!$V$147</c:f>
          <c:strCache>
            <c:ptCount val="1"/>
            <c:pt idx="0">
              <c:v>RED. MOYOBAMBA:  NIÑOS  DE 12 A 59 MESES CON  SUPLEMENTO DE VITAMINA A  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NUTRICION!$H$146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NUTRICION!$A$147:$A$156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NUTRICION!$H$147:$H$156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A-4622-AD29-32F24B2AC0F8}"/>
            </c:ext>
          </c:extLst>
        </c:ser>
        <c:ser>
          <c:idx val="2"/>
          <c:order val="2"/>
          <c:tx>
            <c:strRef>
              <c:f>NUTRICION!$I$146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NUTRICION!$A$147:$A$156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NUTRICION!$I$147:$I$156</c:f>
              <c:numCache>
                <c:formatCode>0.00</c:formatCode>
                <c:ptCount val="9"/>
                <c:pt idx="0">
                  <c:v>97.4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9A-4622-AD29-32F24B2AC0F8}"/>
            </c:ext>
          </c:extLst>
        </c:ser>
        <c:ser>
          <c:idx val="3"/>
          <c:order val="3"/>
          <c:tx>
            <c:strRef>
              <c:f>NUTRICION!$J$146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layout>
                <c:manualLayout>
                  <c:x val="-3.6362510196931371E-17"/>
                  <c:y val="5.89382958848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9A-4622-AD29-32F24B2AC0F8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NUTRICION!$A$147:$A$156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NUTRICION!$J$147:$J$156</c:f>
              <c:numCache>
                <c:formatCode>0</c:formatCode>
                <c:ptCount val="9"/>
                <c:pt idx="0">
                  <c:v>0</c:v>
                </c:pt>
                <c:pt idx="1">
                  <c:v>118.8</c:v>
                </c:pt>
                <c:pt idx="2">
                  <c:v>148.19999999999999</c:v>
                </c:pt>
                <c:pt idx="3">
                  <c:v>117.5</c:v>
                </c:pt>
                <c:pt idx="4">
                  <c:v>0</c:v>
                </c:pt>
                <c:pt idx="5">
                  <c:v>200.9</c:v>
                </c:pt>
                <c:pt idx="6">
                  <c:v>103.3</c:v>
                </c:pt>
                <c:pt idx="7">
                  <c:v>121.5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9A-4622-AD29-32F24B2AC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399488"/>
        <c:axId val="733399880"/>
      </c:barChart>
      <c:lineChart>
        <c:grouping val="standard"/>
        <c:varyColors val="0"/>
        <c:ser>
          <c:idx val="0"/>
          <c:order val="0"/>
          <c:tx>
            <c:strRef>
              <c:f>NUTRICION!$E$146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NUTRICION!$A$147:$A$156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NUTRICION!$E$147:$E$156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9A-4622-AD29-32F24B2AC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9488"/>
        <c:axId val="733399880"/>
      </c:lineChart>
      <c:catAx>
        <c:axId val="7333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399880"/>
        <c:crosses val="autoZero"/>
        <c:auto val="1"/>
        <c:lblAlgn val="ctr"/>
        <c:lblOffset val="1"/>
        <c:noMultiLvlLbl val="0"/>
      </c:catAx>
      <c:valAx>
        <c:axId val="7333998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39948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1.8009074756800046E-2"/>
          <c:y val="0.75230491571946057"/>
          <c:w val="0.9537898424998435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NUTRICION!$V$168</c:f>
          <c:strCache>
            <c:ptCount val="1"/>
            <c:pt idx="0">
              <c:v>RED. MOYOBAMBA:  NIÑO MENOR DE 5 AÑOS CON SUPLEMENTO DE VITAMINA A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NUTRICION!$H$167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NUTRICION!$A$168:$A$177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NUTRICION!$H$168:$H$177</c:f>
              <c:numCache>
                <c:formatCode>0.00</c:formatCode>
                <c:ptCount val="9"/>
                <c:pt idx="0">
                  <c:v>37.9</c:v>
                </c:pt>
                <c:pt idx="1">
                  <c:v>68</c:v>
                </c:pt>
                <c:pt idx="2">
                  <c:v>0</c:v>
                </c:pt>
                <c:pt idx="3">
                  <c:v>2.5</c:v>
                </c:pt>
                <c:pt idx="4">
                  <c:v>0.3</c:v>
                </c:pt>
                <c:pt idx="5">
                  <c:v>2.2999999999999998</c:v>
                </c:pt>
                <c:pt idx="6">
                  <c:v>67.3</c:v>
                </c:pt>
                <c:pt idx="7">
                  <c:v>68</c:v>
                </c:pt>
                <c:pt idx="8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9-4191-83E5-0FD65E0580A5}"/>
            </c:ext>
          </c:extLst>
        </c:ser>
        <c:ser>
          <c:idx val="2"/>
          <c:order val="2"/>
          <c:tx>
            <c:strRef>
              <c:f>NUTRICION!$I$167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NUTRICION!$A$168:$A$177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NUTRICION!$I$168:$I$177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9-4191-83E5-0FD65E0580A5}"/>
            </c:ext>
          </c:extLst>
        </c:ser>
        <c:ser>
          <c:idx val="3"/>
          <c:order val="3"/>
          <c:tx>
            <c:strRef>
              <c:f>NUTRICION!$J$167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NUTRICION!$A$168:$A$177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NUTRICION!$J$168:$J$177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79-4191-83E5-0FD65E058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0664"/>
        <c:axId val="733401056"/>
      </c:barChart>
      <c:lineChart>
        <c:grouping val="standard"/>
        <c:varyColors val="0"/>
        <c:ser>
          <c:idx val="0"/>
          <c:order val="0"/>
          <c:tx>
            <c:strRef>
              <c:f>NUTRICION!$E$167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NUTRICION!$A$168:$A$177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NUTRICION!$E$168:$E$177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79-4191-83E5-0FD65E058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0664"/>
        <c:axId val="733401056"/>
      </c:lineChart>
      <c:catAx>
        <c:axId val="733400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1056"/>
        <c:crosses val="autoZero"/>
        <c:auto val="1"/>
        <c:lblAlgn val="ctr"/>
        <c:lblOffset val="1"/>
        <c:noMultiLvlLbl val="0"/>
      </c:catAx>
      <c:valAx>
        <c:axId val="7334010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066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445687604531797E-2"/>
          <c:y val="0.75230491571946057"/>
          <c:w val="0.94704649791887963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NUTRICION!$V$188</c:f>
          <c:strCache>
            <c:ptCount val="1"/>
            <c:pt idx="0">
              <c:v>RED. MOYOBAMBA:  NIÑOS DE 6 A 11 MESES DE EDAD CON DOSAJE DE HEMOGLOBINA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NUTRICION!$H$188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NUTRICION!$H$189:$H$198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79.099999999999994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7-4308-A0CA-088430FAE335}"/>
            </c:ext>
          </c:extLst>
        </c:ser>
        <c:ser>
          <c:idx val="2"/>
          <c:order val="2"/>
          <c:tx>
            <c:strRef>
              <c:f>NUTRICION!$I$188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NUTRICION!$I$189:$I$198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7-4308-A0CA-088430FAE335}"/>
            </c:ext>
          </c:extLst>
        </c:ser>
        <c:ser>
          <c:idx val="3"/>
          <c:order val="3"/>
          <c:tx>
            <c:strRef>
              <c:f>NUTRICION!$J$188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67-4308-A0CA-088430FAE335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NUTRICION!$J$189:$J$198</c:f>
              <c:numCache>
                <c:formatCode>0</c:formatCode>
                <c:ptCount val="10"/>
                <c:pt idx="0">
                  <c:v>173.7</c:v>
                </c:pt>
                <c:pt idx="1">
                  <c:v>0</c:v>
                </c:pt>
                <c:pt idx="2">
                  <c:v>161.4</c:v>
                </c:pt>
                <c:pt idx="3">
                  <c:v>194.7</c:v>
                </c:pt>
                <c:pt idx="4">
                  <c:v>0</c:v>
                </c:pt>
                <c:pt idx="5">
                  <c:v>229.7</c:v>
                </c:pt>
                <c:pt idx="6">
                  <c:v>224.3</c:v>
                </c:pt>
                <c:pt idx="7">
                  <c:v>175.7</c:v>
                </c:pt>
                <c:pt idx="8">
                  <c:v>113.8</c:v>
                </c:pt>
                <c:pt idx="9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7-4308-A0CA-088430FAE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1840"/>
        <c:axId val="733402232"/>
      </c:barChart>
      <c:lineChart>
        <c:grouping val="standard"/>
        <c:varyColors val="0"/>
        <c:ser>
          <c:idx val="0"/>
          <c:order val="0"/>
          <c:tx>
            <c:strRef>
              <c:f>NUTRICION!$E$188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NUTRICION!$E$189:$E$198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67-4308-A0CA-088430FAE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1840"/>
        <c:axId val="733402232"/>
      </c:lineChart>
      <c:catAx>
        <c:axId val="73340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2232"/>
        <c:crosses val="autoZero"/>
        <c:auto val="1"/>
        <c:lblAlgn val="ctr"/>
        <c:lblOffset val="1"/>
        <c:noMultiLvlLbl val="0"/>
      </c:catAx>
      <c:valAx>
        <c:axId val="7334022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184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445687604531797E-2"/>
          <c:y val="0.75230491571946057"/>
          <c:w val="0.9531396882269648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NUTRICION!$V$210</c:f>
          <c:strCache>
            <c:ptCount val="1"/>
            <c:pt idx="0">
              <c:v>RED. MOYOBAMBA:  NIÑOS DE 12 A 23 MESES DE EDAD CON DOSAJE DE HEMOGLOBINA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NUTRICION!$H$210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NUTRICION!$A$211:$A$220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NUTRICION!$H$211:$H$220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77.8</c:v>
                </c:pt>
                <c:pt idx="9">
                  <c:v>85.1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4-48E0-A2D5-FC67C9915D17}"/>
            </c:ext>
          </c:extLst>
        </c:ser>
        <c:ser>
          <c:idx val="2"/>
          <c:order val="2"/>
          <c:tx>
            <c:strRef>
              <c:f>NUTRICION!$I$210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NUTRICION!$A$211:$A$220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NUTRICION!$I$211:$I$220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4-48E0-A2D5-FC67C9915D17}"/>
            </c:ext>
          </c:extLst>
        </c:ser>
        <c:ser>
          <c:idx val="3"/>
          <c:order val="3"/>
          <c:tx>
            <c:strRef>
              <c:f>NUTRICION!$J$210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>
              <a:gsLst>
                <a:gs pos="0">
                  <a:srgbClr val="009E47"/>
                </a:gs>
                <a:gs pos="49000">
                  <a:srgbClr val="00B05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00B050"/>
              </a:solidFill>
            </a:ln>
            <a:scene3d>
              <a:camera prst="orthographicFront"/>
              <a:lightRig rig="threePt" dir="t"/>
            </a:scene3d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84-48E0-A2D5-FC67C9915D17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NUTRICION!$A$211:$A$220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NUTRICION!$J$211:$J$220</c:f>
              <c:numCache>
                <c:formatCode>0</c:formatCode>
                <c:ptCount val="10"/>
                <c:pt idx="0">
                  <c:v>106.3</c:v>
                </c:pt>
                <c:pt idx="1">
                  <c:v>0</c:v>
                </c:pt>
                <c:pt idx="2">
                  <c:v>100.2</c:v>
                </c:pt>
                <c:pt idx="3">
                  <c:v>0</c:v>
                </c:pt>
                <c:pt idx="4">
                  <c:v>109.2</c:v>
                </c:pt>
                <c:pt idx="5">
                  <c:v>118.8</c:v>
                </c:pt>
                <c:pt idx="6">
                  <c:v>167.9</c:v>
                </c:pt>
                <c:pt idx="7">
                  <c:v>122.9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84-48E0-A2D5-FC67C9915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3016"/>
        <c:axId val="733403408"/>
      </c:barChart>
      <c:lineChart>
        <c:grouping val="standard"/>
        <c:varyColors val="0"/>
        <c:ser>
          <c:idx val="0"/>
          <c:order val="0"/>
          <c:tx>
            <c:strRef>
              <c:f>NUTRICION!$E$210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NUTRICION!$A$211:$A$220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NUTRICION!$E$211:$E$220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84-48E0-A2D5-FC67C9915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3016"/>
        <c:axId val="733403408"/>
      </c:lineChart>
      <c:catAx>
        <c:axId val="73340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3408"/>
        <c:crosses val="autoZero"/>
        <c:auto val="1"/>
        <c:lblAlgn val="ctr"/>
        <c:lblOffset val="1"/>
        <c:noMultiLvlLbl val="0"/>
      </c:catAx>
      <c:valAx>
        <c:axId val="7334034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301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507814476588556E-2"/>
          <c:y val="0.75230491571946057"/>
          <c:w val="0.9409533076107943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NUTRICION!$V$65</c:f>
          <c:strCache>
            <c:ptCount val="1"/>
            <c:pt idx="0">
              <c:v>RED. MOYOBAMBA:  NIÑOS MENORES DE 12 MESES DE EDAD CON SUPLEMENTO DE HIERRO Y OTROS MICRONUTRIENTES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NUTRICION!$H$65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NUTRICION!$H$66:$H$75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88.5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0-4FBC-85D2-A4E0F483E6F3}"/>
            </c:ext>
          </c:extLst>
        </c:ser>
        <c:ser>
          <c:idx val="2"/>
          <c:order val="2"/>
          <c:tx>
            <c:strRef>
              <c:f>NUTRICION!$I$65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NUTRICION!$I$66:$I$75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A0-4FBC-85D2-A4E0F483E6F3}"/>
            </c:ext>
          </c:extLst>
        </c:ser>
        <c:ser>
          <c:idx val="3"/>
          <c:order val="3"/>
          <c:tx>
            <c:strRef>
              <c:f>NUTRICION!$J$65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A0-4FBC-85D2-A4E0F483E6F3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NUTRICION!$J$66:$J$75</c:f>
              <c:numCache>
                <c:formatCode>0</c:formatCode>
                <c:ptCount val="9"/>
                <c:pt idx="0">
                  <c:v>205.5</c:v>
                </c:pt>
                <c:pt idx="1">
                  <c:v>195.7</c:v>
                </c:pt>
                <c:pt idx="2">
                  <c:v>253.8</c:v>
                </c:pt>
                <c:pt idx="3">
                  <c:v>371.4</c:v>
                </c:pt>
                <c:pt idx="4">
                  <c:v>137.30000000000001</c:v>
                </c:pt>
                <c:pt idx="5">
                  <c:v>324</c:v>
                </c:pt>
                <c:pt idx="6">
                  <c:v>0</c:v>
                </c:pt>
                <c:pt idx="7">
                  <c:v>220</c:v>
                </c:pt>
                <c:pt idx="8">
                  <c:v>226.1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A0-4FBC-85D2-A4E0F483E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4192"/>
        <c:axId val="733404584"/>
      </c:barChart>
      <c:lineChart>
        <c:grouping val="standard"/>
        <c:varyColors val="0"/>
        <c:ser>
          <c:idx val="0"/>
          <c:order val="0"/>
          <c:tx>
            <c:strRef>
              <c:f>NUTRICION!$E$65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NUTRICION!$E$66:$E$75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A0-4FBC-85D2-A4E0F483E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4192"/>
        <c:axId val="733404584"/>
      </c:lineChart>
      <c:catAx>
        <c:axId val="7334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4584"/>
        <c:crosses val="autoZero"/>
        <c:auto val="1"/>
        <c:lblAlgn val="ctr"/>
        <c:lblOffset val="1"/>
        <c:noMultiLvlLbl val="0"/>
      </c:catAx>
      <c:valAx>
        <c:axId val="7334045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419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223963122844739E-2"/>
          <c:y val="0.75230491571946057"/>
          <c:w val="0.94355191329606747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NUTRICION!$V$106</c:f>
          <c:strCache>
            <c:ptCount val="1"/>
            <c:pt idx="0">
              <c:v>RED. MOYOBAMBA:  NIÑOS MENORES DE 36 MESES DE EDAD CON SUPLEMENTO DE HIERRO Y OTROS MICRONUTRIENTES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NUTRICION!$H$105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NUTRICION!$A$106:$A$115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NUTRICION!$H$106:$H$115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9-4646-ACFC-0B8CC985B4B3}"/>
            </c:ext>
          </c:extLst>
        </c:ser>
        <c:ser>
          <c:idx val="2"/>
          <c:order val="2"/>
          <c:tx>
            <c:strRef>
              <c:f>NUTRICION!$I$105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NUTRICION!$A$106:$A$115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NUTRICION!$I$106:$I$115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9-4646-ACFC-0B8CC985B4B3}"/>
            </c:ext>
          </c:extLst>
        </c:ser>
        <c:ser>
          <c:idx val="3"/>
          <c:order val="3"/>
          <c:tx>
            <c:strRef>
              <c:f>NUTRICION!$J$105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NUTRICION!$A$106:$A$115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NUTRICION!$J$106:$J$115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19-4646-ACFC-0B8CC985B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5368"/>
        <c:axId val="733405760"/>
      </c:barChart>
      <c:lineChart>
        <c:grouping val="standard"/>
        <c:varyColors val="0"/>
        <c:ser>
          <c:idx val="0"/>
          <c:order val="0"/>
          <c:tx>
            <c:strRef>
              <c:f>NUTRICION!$E$105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NUTRICION!$A$106:$A$115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NUTRICION!$E$106:$E$115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19-4646-ACFC-0B8CC985B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5368"/>
        <c:axId val="733405760"/>
      </c:lineChart>
      <c:catAx>
        <c:axId val="73340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5760"/>
        <c:crosses val="autoZero"/>
        <c:auto val="1"/>
        <c:lblAlgn val="ctr"/>
        <c:lblOffset val="1"/>
        <c:noMultiLvlLbl val="0"/>
      </c:catAx>
      <c:valAx>
        <c:axId val="7334057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536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1.8009074756800046E-2"/>
          <c:y val="0.75230491571946057"/>
          <c:w val="0.9537898424998435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NUTRICION!$V$230</c:f>
          <c:strCache>
            <c:ptCount val="1"/>
            <c:pt idx="0">
              <c:v>RED. MOYOBAMBA:  NIÑOS DE 24 A 35 MESES DE EDAD CON DOSAJE DE HEMOGLOBINA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NUTRICION!$H$230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NUTRICION!$A$231:$A$240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NUTRICION!$H$231:$H$240</c:f>
              <c:numCache>
                <c:formatCode>0.00</c:formatCode>
                <c:ptCount val="10"/>
                <c:pt idx="0">
                  <c:v>59.7</c:v>
                </c:pt>
                <c:pt idx="1">
                  <c:v>0</c:v>
                </c:pt>
                <c:pt idx="2">
                  <c:v>60.2</c:v>
                </c:pt>
                <c:pt idx="3">
                  <c:v>27.7</c:v>
                </c:pt>
                <c:pt idx="4">
                  <c:v>51.3</c:v>
                </c:pt>
                <c:pt idx="5">
                  <c:v>64.900000000000006</c:v>
                </c:pt>
                <c:pt idx="6">
                  <c:v>69.2</c:v>
                </c:pt>
                <c:pt idx="7">
                  <c:v>70.7</c:v>
                </c:pt>
                <c:pt idx="8">
                  <c:v>56.7</c:v>
                </c:pt>
                <c:pt idx="9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4-41B6-B0FE-C5D6D27C966A}"/>
            </c:ext>
          </c:extLst>
        </c:ser>
        <c:ser>
          <c:idx val="2"/>
          <c:order val="2"/>
          <c:tx>
            <c:strRef>
              <c:f>NUTRICION!$I$230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NUTRICION!$A$231:$A$240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NUTRICION!$I$231:$I$240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4-41B6-B0FE-C5D6D27C966A}"/>
            </c:ext>
          </c:extLst>
        </c:ser>
        <c:ser>
          <c:idx val="3"/>
          <c:order val="3"/>
          <c:tx>
            <c:strRef>
              <c:f>NUTRICION!$J$230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F4-41B6-B0FE-C5D6D27C966A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NUTRICION!$A$231:$A$240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NUTRICION!$J$231:$J$240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F4-41B6-B0FE-C5D6D27C9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1840"/>
        <c:axId val="733402232"/>
      </c:barChart>
      <c:lineChart>
        <c:grouping val="standard"/>
        <c:varyColors val="0"/>
        <c:ser>
          <c:idx val="0"/>
          <c:order val="0"/>
          <c:tx>
            <c:strRef>
              <c:f>NUTRICION!$E$230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NUTRICION!$A$231:$A$240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NUTRICION!$E$231:$E$240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F4-41B6-B0FE-C5D6D27C9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1840"/>
        <c:axId val="733402232"/>
      </c:lineChart>
      <c:catAx>
        <c:axId val="73340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2232"/>
        <c:crosses val="autoZero"/>
        <c:auto val="1"/>
        <c:lblAlgn val="ctr"/>
        <c:lblOffset val="1"/>
        <c:noMultiLvlLbl val="0"/>
      </c:catAx>
      <c:valAx>
        <c:axId val="7334022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184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445687604531797E-2"/>
          <c:y val="0.75230491571946057"/>
          <c:w val="0.9531396882269648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NIÑO!$V$188</c:f>
          <c:strCache>
            <c:ptCount val="1"/>
            <c:pt idx="0">
              <c:v>RED. MOYOBAMBA:  NIÑO &gt; 1 AÑO CON 2°SPR,1°REF DPT Y 1°REF APO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NIÑO!$H$188</c:f>
              <c:strCache>
                <c:ptCount val="1"/>
                <c:pt idx="0">
                  <c:v>DEFICIENTE &lt;= 37,5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NIÑO!$H$189:$H$198</c:f>
              <c:numCache>
                <c:formatCode>0.00</c:formatCode>
                <c:ptCount val="10"/>
                <c:pt idx="0">
                  <c:v>11.08</c:v>
                </c:pt>
                <c:pt idx="1">
                  <c:v>0</c:v>
                </c:pt>
                <c:pt idx="2">
                  <c:v>12.48</c:v>
                </c:pt>
                <c:pt idx="3">
                  <c:v>13.4</c:v>
                </c:pt>
                <c:pt idx="4">
                  <c:v>5.52</c:v>
                </c:pt>
                <c:pt idx="5">
                  <c:v>16.36</c:v>
                </c:pt>
                <c:pt idx="6">
                  <c:v>11.23</c:v>
                </c:pt>
                <c:pt idx="7">
                  <c:v>2.4</c:v>
                </c:pt>
                <c:pt idx="8">
                  <c:v>7.95</c:v>
                </c:pt>
                <c:pt idx="9">
                  <c:v>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1-4E36-9D76-E63979370333}"/>
            </c:ext>
          </c:extLst>
        </c:ser>
        <c:ser>
          <c:idx val="2"/>
          <c:order val="2"/>
          <c:tx>
            <c:strRef>
              <c:f>NIÑO!$I$188</c:f>
              <c:strCache>
                <c:ptCount val="1"/>
                <c:pt idx="0">
                  <c:v>PROCESO &gt; 37,5  -  &lt; 41,7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NIÑO!$I$189:$I$198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1-4E36-9D76-E63979370333}"/>
            </c:ext>
          </c:extLst>
        </c:ser>
        <c:ser>
          <c:idx val="3"/>
          <c:order val="3"/>
          <c:tx>
            <c:strRef>
              <c:f>NIÑO!$J$188</c:f>
              <c:strCache>
                <c:ptCount val="1"/>
                <c:pt idx="0">
                  <c:v>OPTIMO &gt;= 41,7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7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NIÑO!$J$189:$J$198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31-4E36-9D76-E63979370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5240"/>
        <c:axId val="488925632"/>
      </c:barChart>
      <c:lineChart>
        <c:grouping val="standard"/>
        <c:varyColors val="0"/>
        <c:ser>
          <c:idx val="0"/>
          <c:order val="0"/>
          <c:tx>
            <c:strRef>
              <c:f>NIÑO!$E$188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NIÑO!$E$189:$E$198</c:f>
              <c:numCache>
                <c:formatCode>0.0</c:formatCode>
                <c:ptCount val="10"/>
                <c:pt idx="0" formatCode="0">
                  <c:v>41.666666666666671</c:v>
                </c:pt>
                <c:pt idx="1">
                  <c:v>41.666666666666671</c:v>
                </c:pt>
                <c:pt idx="2">
                  <c:v>41.666666666666671</c:v>
                </c:pt>
                <c:pt idx="3">
                  <c:v>41.666666666666671</c:v>
                </c:pt>
                <c:pt idx="4">
                  <c:v>41.666666666666671</c:v>
                </c:pt>
                <c:pt idx="5">
                  <c:v>41.666666666666671</c:v>
                </c:pt>
                <c:pt idx="6">
                  <c:v>41.666666666666671</c:v>
                </c:pt>
                <c:pt idx="7">
                  <c:v>41.666666666666671</c:v>
                </c:pt>
                <c:pt idx="8">
                  <c:v>41.666666666666671</c:v>
                </c:pt>
                <c:pt idx="9">
                  <c:v>41.666666666666671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31-4E36-9D76-E63979370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25240"/>
        <c:axId val="488925632"/>
      </c:lineChart>
      <c:catAx>
        <c:axId val="488925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5632"/>
        <c:crosses val="autoZero"/>
        <c:auto val="1"/>
        <c:lblAlgn val="ctr"/>
        <c:lblOffset val="1"/>
        <c:noMultiLvlLbl val="0"/>
      </c:catAx>
      <c:valAx>
        <c:axId val="4889256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524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148323748895039E-2"/>
          <c:y val="0.75230491571946057"/>
          <c:w val="0.94966537235699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NUTRICION!$V$252</c:f>
          <c:strCache>
            <c:ptCount val="1"/>
            <c:pt idx="0">
              <c:v>RED. MOYOBAMBA:  NIÑOS DE 6 A 35 MESES DE EDAD CON DOSAJE DE HEMOGLOBINA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NUTRICION!$H$252</c:f>
              <c:strCache>
                <c:ptCount val="1"/>
                <c:pt idx="0">
                  <c:v>DEFICIENTE &lt;= 37,5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NUTRICION!$A$253:$A$262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NUTRICION!$H$253:$H$262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36.799999999999997</c:v>
                </c:pt>
                <c:pt idx="3">
                  <c:v>36.1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36.5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F-4656-99E0-DC0259883E8C}"/>
            </c:ext>
          </c:extLst>
        </c:ser>
        <c:ser>
          <c:idx val="2"/>
          <c:order val="2"/>
          <c:tx>
            <c:strRef>
              <c:f>NUTRICION!$I$252</c:f>
              <c:strCache>
                <c:ptCount val="1"/>
                <c:pt idx="0">
                  <c:v>PROCESO &gt; 37,5  -  &lt; 41,7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NUTRICION!$A$253:$A$262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NUTRICION!$I$253:$I$262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F-4656-99E0-DC0259883E8C}"/>
            </c:ext>
          </c:extLst>
        </c:ser>
        <c:ser>
          <c:idx val="3"/>
          <c:order val="3"/>
          <c:tx>
            <c:strRef>
              <c:f>NUTRICION!$J$252</c:f>
              <c:strCache>
                <c:ptCount val="1"/>
                <c:pt idx="0">
                  <c:v>OPTIMO &gt;= 41,7</c:v>
                </c:pt>
              </c:strCache>
            </c:strRef>
          </c:tx>
          <c:spPr>
            <a:gradFill>
              <a:gsLst>
                <a:gs pos="0">
                  <a:srgbClr val="009E47"/>
                </a:gs>
                <a:gs pos="49000">
                  <a:srgbClr val="00B05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00B050"/>
              </a:solidFill>
            </a:ln>
            <a:scene3d>
              <a:camera prst="orthographicFront"/>
              <a:lightRig rig="threePt" dir="t"/>
            </a:scene3d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EF-4656-99E0-DC0259883E8C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NUTRICION!$A$253:$A$262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NUTRICION!$J$253:$J$262</c:f>
              <c:numCache>
                <c:formatCode>0</c:formatCode>
                <c:ptCount val="9"/>
                <c:pt idx="0">
                  <c:v>49.3</c:v>
                </c:pt>
                <c:pt idx="1">
                  <c:v>46.9</c:v>
                </c:pt>
                <c:pt idx="2">
                  <c:v>0</c:v>
                </c:pt>
                <c:pt idx="3">
                  <c:v>0</c:v>
                </c:pt>
                <c:pt idx="4">
                  <c:v>59.4</c:v>
                </c:pt>
                <c:pt idx="5">
                  <c:v>59.2</c:v>
                </c:pt>
                <c:pt idx="6">
                  <c:v>56.3</c:v>
                </c:pt>
                <c:pt idx="7">
                  <c:v>0</c:v>
                </c:pt>
                <c:pt idx="8">
                  <c:v>50.2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EF-4656-99E0-DC0259883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3016"/>
        <c:axId val="733403408"/>
      </c:barChart>
      <c:lineChart>
        <c:grouping val="standard"/>
        <c:varyColors val="0"/>
        <c:ser>
          <c:idx val="0"/>
          <c:order val="0"/>
          <c:tx>
            <c:strRef>
              <c:f>NUTRICION!$E$252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NUTRICION!$A$253:$A$262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NUTRICION!$E$253:$E$262</c:f>
              <c:numCache>
                <c:formatCode>0.0</c:formatCode>
                <c:ptCount val="9"/>
                <c:pt idx="0">
                  <c:v>41.666666666666671</c:v>
                </c:pt>
                <c:pt idx="1">
                  <c:v>41.666666666666671</c:v>
                </c:pt>
                <c:pt idx="2">
                  <c:v>41.666666666666671</c:v>
                </c:pt>
                <c:pt idx="3">
                  <c:v>41.666666666666671</c:v>
                </c:pt>
                <c:pt idx="4">
                  <c:v>41.666666666666671</c:v>
                </c:pt>
                <c:pt idx="5">
                  <c:v>41.666666666666671</c:v>
                </c:pt>
                <c:pt idx="6">
                  <c:v>41.666666666666671</c:v>
                </c:pt>
                <c:pt idx="7">
                  <c:v>41.666666666666671</c:v>
                </c:pt>
                <c:pt idx="8">
                  <c:v>41.666666666666671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EF-4656-99E0-DC0259883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3016"/>
        <c:axId val="733403408"/>
      </c:lineChart>
      <c:catAx>
        <c:axId val="73340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3408"/>
        <c:crosses val="autoZero"/>
        <c:auto val="1"/>
        <c:lblAlgn val="ctr"/>
        <c:lblOffset val="1"/>
        <c:noMultiLvlLbl val="0"/>
      </c:catAx>
      <c:valAx>
        <c:axId val="7334034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301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507814476588556E-2"/>
          <c:y val="0.75230491571946057"/>
          <c:w val="0.9409533076107943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NIÑO!$V$209</c:f>
          <c:strCache>
            <c:ptCount val="1"/>
            <c:pt idx="0">
              <c:v>RED. MOYOBAMBA:  PORCENTAJE DE DESERCION VACUNA PENTAVALENTE EN MENORES DE 1 AÑO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[1]NIÑO!$H$209</c:f>
              <c:strCache>
                <c:ptCount val="1"/>
                <c:pt idx="0">
                  <c:v>DEFICIENTE + 5%; -5%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[1]NIÑO!$A$210:$A$218</c:f>
              <c:strCache>
                <c:ptCount val="9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</c:strCache>
            </c:strRef>
          </c:cat>
          <c:val>
            <c:numRef>
              <c:f>[1]NIÑO!$H$210:$H$218</c:f>
              <c:numCache>
                <c:formatCode>General</c:formatCode>
                <c:ptCount val="9"/>
                <c:pt idx="0">
                  <c:v>0</c:v>
                </c:pt>
                <c:pt idx="1">
                  <c:v>-26.349206349206348</c:v>
                </c:pt>
                <c:pt idx="2">
                  <c:v>14.893617021276595</c:v>
                </c:pt>
                <c:pt idx="3">
                  <c:v>28.07017543859649</c:v>
                </c:pt>
                <c:pt idx="4">
                  <c:v>0</c:v>
                </c:pt>
                <c:pt idx="5">
                  <c:v>29.213483146067414</c:v>
                </c:pt>
                <c:pt idx="6">
                  <c:v>26.666666666666668</c:v>
                </c:pt>
                <c:pt idx="7">
                  <c:v>-67.741935483870961</c:v>
                </c:pt>
                <c:pt idx="8">
                  <c:v>-7.5757575757575761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7-4715-BF16-4D73C2B1F4D1}"/>
            </c:ext>
          </c:extLst>
        </c:ser>
        <c:ser>
          <c:idx val="2"/>
          <c:order val="1"/>
          <c:tx>
            <c:strRef>
              <c:f>[1]NIÑO!$I$209</c:f>
              <c:strCache>
                <c:ptCount val="1"/>
                <c:pt idx="0">
                  <c:v>PROCESO 0 a + 4.99 , 0 a -4.99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[1]NIÑO!$A$210:$A$218</c:f>
              <c:strCache>
                <c:ptCount val="9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</c:strCache>
            </c:strRef>
          </c:cat>
          <c:val>
            <c:numRef>
              <c:f>[1]NIÑO!$I$210:$I$218</c:f>
              <c:numCache>
                <c:formatCode>General</c:formatCode>
                <c:ptCount val="9"/>
                <c:pt idx="0">
                  <c:v>-4.1760722347629793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1.4563106796116505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C7-4715-BF16-4D73C2B1F4D1}"/>
            </c:ext>
          </c:extLst>
        </c:ser>
        <c:ser>
          <c:idx val="3"/>
          <c:order val="2"/>
          <c:tx>
            <c:strRef>
              <c:f>[1]NIÑO!$J$209</c:f>
              <c:strCache>
                <c:ptCount val="1"/>
                <c:pt idx="0">
                  <c:v>SIN DESERCION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7-4715-BF16-4D73C2B1F4D1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[1]NIÑO!$A$210:$A$218</c:f>
              <c:strCache>
                <c:ptCount val="9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</c:strCache>
            </c:strRef>
          </c:cat>
          <c:val>
            <c:numRef>
              <c:f>[1]NIÑO!$J$210:$J$218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C7-4715-BF16-4D73C2B1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6416"/>
        <c:axId val="488926808"/>
      </c:barChart>
      <c:catAx>
        <c:axId val="48892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6808"/>
        <c:crosses val="autoZero"/>
        <c:auto val="1"/>
        <c:lblAlgn val="ctr"/>
        <c:lblOffset val="1"/>
        <c:noMultiLvlLbl val="0"/>
      </c:catAx>
      <c:valAx>
        <c:axId val="4889268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641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8223963122844739E-2"/>
          <c:y val="0.75230491571946057"/>
          <c:w val="0.9415140936090925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10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NIÑO!$V$230</c:f>
          <c:strCache>
            <c:ptCount val="1"/>
            <c:pt idx="0">
              <c:v>RED. MOYOBAMBA:  PORCENTAJE DE DESERCION VACUNA NEUMOCOCO EN MENORES DE 1 AÑO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[1]NIÑO!$H$229</c:f>
              <c:strCache>
                <c:ptCount val="1"/>
                <c:pt idx="0">
                  <c:v>DEFICIENTE + 5%; -5%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[1]NIÑO!$A$230:$A$238</c:f>
              <c:strCache>
                <c:ptCount val="9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</c:strCache>
            </c:strRef>
          </c:cat>
          <c:val>
            <c:numRef>
              <c:f>[1]NIÑO!$H$230:$H$238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F-4F21-8832-47E82AF4F9B7}"/>
            </c:ext>
          </c:extLst>
        </c:ser>
        <c:ser>
          <c:idx val="2"/>
          <c:order val="1"/>
          <c:tx>
            <c:strRef>
              <c:f>[1]NIÑO!$I$229</c:f>
              <c:strCache>
                <c:ptCount val="1"/>
                <c:pt idx="0">
                  <c:v>PROCESO 0 a + 4.99 , 0 a -4.99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[1]NIÑO!$A$230:$A$238</c:f>
              <c:strCache>
                <c:ptCount val="9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</c:strCache>
            </c:strRef>
          </c:cat>
          <c:val>
            <c:numRef>
              <c:f>[1]NIÑO!$I$230:$I$238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F-4F21-8832-47E82AF4F9B7}"/>
            </c:ext>
          </c:extLst>
        </c:ser>
        <c:ser>
          <c:idx val="3"/>
          <c:order val="2"/>
          <c:tx>
            <c:strRef>
              <c:f>[1]NIÑO!$J$229</c:f>
              <c:strCache>
                <c:ptCount val="1"/>
                <c:pt idx="0">
                  <c:v>SIN DESERCION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6F-4F21-8832-47E82AF4F9B7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[1]NIÑO!$A$230:$A$238</c:f>
              <c:strCache>
                <c:ptCount val="9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</c:strCache>
            </c:strRef>
          </c:cat>
          <c:val>
            <c:numRef>
              <c:f>[1]NIÑO!$J$230:$J$238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6F-4F21-8832-47E82AF4F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7592"/>
        <c:axId val="488927984"/>
      </c:barChart>
      <c:catAx>
        <c:axId val="48892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7984"/>
        <c:crosses val="autoZero"/>
        <c:auto val="1"/>
        <c:lblAlgn val="ctr"/>
        <c:lblOffset val="1"/>
        <c:noMultiLvlLbl val="0"/>
      </c:catAx>
      <c:valAx>
        <c:axId val="4889279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759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8223963122844739E-2"/>
          <c:y val="0.75230491571946057"/>
          <c:w val="0.9415140936090925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10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NIÑO!$V$249</c:f>
          <c:strCache>
            <c:ptCount val="1"/>
            <c:pt idx="0">
              <c:v>RED. MOYOBAMBA:  PORCENTAJE DE DESERCION VACUNA 1 Ref. DPT DE 1 AÑO 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[1]NIÑO!$H$249</c:f>
              <c:strCache>
                <c:ptCount val="1"/>
                <c:pt idx="0">
                  <c:v>DEFICIENTE + 5%; -5%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[1]NIÑO!$A$250:$A$258</c:f>
              <c:strCache>
                <c:ptCount val="9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</c:strCache>
            </c:strRef>
          </c:cat>
          <c:val>
            <c:numRef>
              <c:f>[1]NIÑO!$H$250:$H$258</c:f>
              <c:numCache>
                <c:formatCode>General</c:formatCode>
                <c:ptCount val="9"/>
                <c:pt idx="0">
                  <c:v>21.770334928229666</c:v>
                </c:pt>
                <c:pt idx="1">
                  <c:v>-28.07017543859649</c:v>
                </c:pt>
                <c:pt idx="2">
                  <c:v>-28.205128205128204</c:v>
                </c:pt>
                <c:pt idx="3">
                  <c:v>61.53846153846154</c:v>
                </c:pt>
                <c:pt idx="4">
                  <c:v>21.951219512195124</c:v>
                </c:pt>
                <c:pt idx="5">
                  <c:v>66.055045871559628</c:v>
                </c:pt>
                <c:pt idx="6">
                  <c:v>74.117647058823536</c:v>
                </c:pt>
                <c:pt idx="7">
                  <c:v>6.0606060606060606</c:v>
                </c:pt>
                <c:pt idx="8">
                  <c:v>48.611111111111114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D-450D-A3D2-A59EC726C3E2}"/>
            </c:ext>
          </c:extLst>
        </c:ser>
        <c:ser>
          <c:idx val="2"/>
          <c:order val="1"/>
          <c:tx>
            <c:strRef>
              <c:f>[1]NIÑO!$I$249</c:f>
              <c:strCache>
                <c:ptCount val="1"/>
                <c:pt idx="0">
                  <c:v>PROCESO 0 a + 4.99 , 0 a -4.99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[1]NIÑO!$A$250:$A$258</c:f>
              <c:strCache>
                <c:ptCount val="9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</c:strCache>
            </c:strRef>
          </c:cat>
          <c:val>
            <c:numRef>
              <c:f>[1]NIÑO!$I$250:$I$258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9D-450D-A3D2-A59EC726C3E2}"/>
            </c:ext>
          </c:extLst>
        </c:ser>
        <c:ser>
          <c:idx val="3"/>
          <c:order val="2"/>
          <c:tx>
            <c:strRef>
              <c:f>[1]NIÑO!$J$249</c:f>
              <c:strCache>
                <c:ptCount val="1"/>
                <c:pt idx="0">
                  <c:v>SIN DESERCION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9D-450D-A3D2-A59EC726C3E2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[1]NIÑO!$A$250:$A$258</c:f>
              <c:strCache>
                <c:ptCount val="9"/>
                <c:pt idx="0">
                  <c:v>RED</c:v>
                </c:pt>
                <c:pt idx="1">
                  <c:v>LLUYLLUC</c:v>
                </c:pt>
                <c:pt idx="2">
                  <c:v>JERILLO</c:v>
                </c:pt>
                <c:pt idx="3">
                  <c:v>YANTALO</c:v>
                </c:pt>
                <c:pt idx="4">
                  <c:v>SORITOR</c:v>
                </c:pt>
                <c:pt idx="5">
                  <c:v>JEPELAC</c:v>
                </c:pt>
                <c:pt idx="6">
                  <c:v>ROQUE</c:v>
                </c:pt>
                <c:pt idx="7">
                  <c:v>CALZADA</c:v>
                </c:pt>
                <c:pt idx="8">
                  <c:v>P. LIBRE</c:v>
                </c:pt>
              </c:strCache>
            </c:strRef>
          </c:cat>
          <c:val>
            <c:numRef>
              <c:f>[1]NIÑO!$J$250:$J$258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9D-450D-A3D2-A59EC726C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8768"/>
        <c:axId val="453892000"/>
      </c:barChart>
      <c:catAx>
        <c:axId val="4889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53892000"/>
        <c:crosses val="autoZero"/>
        <c:auto val="1"/>
        <c:lblAlgn val="ctr"/>
        <c:lblOffset val="1"/>
        <c:noMultiLvlLbl val="0"/>
      </c:catAx>
      <c:valAx>
        <c:axId val="4538920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876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6186143435869891E-2"/>
          <c:y val="0.75230491571946057"/>
          <c:w val="0.94966537235699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10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NIÑO!$V$270</c:f>
          <c:strCache>
            <c:ptCount val="1"/>
            <c:pt idx="0">
              <c:v>RED. MOYOBAMBA:   NIÑO DE 4 AÑOS CON 2DO REFUERZO DE DPT Y 2DO REFUERZO DE APO  - POR MICROREDES :   ENERO - MAYO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NIÑO!$H$270</c:f>
              <c:strCache>
                <c:ptCount val="1"/>
                <c:pt idx="0">
                  <c:v>DEFICIENTE &lt;= 37,5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NIÑO!$A$271:$A$280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NIÑO!$H$271:$H$280</c:f>
              <c:numCache>
                <c:formatCode>0.00</c:formatCode>
                <c:ptCount val="10"/>
                <c:pt idx="0">
                  <c:v>11.93</c:v>
                </c:pt>
                <c:pt idx="1">
                  <c:v>0</c:v>
                </c:pt>
                <c:pt idx="2">
                  <c:v>10.88</c:v>
                </c:pt>
                <c:pt idx="3">
                  <c:v>13.91</c:v>
                </c:pt>
                <c:pt idx="4">
                  <c:v>11.93</c:v>
                </c:pt>
                <c:pt idx="5">
                  <c:v>16.84</c:v>
                </c:pt>
                <c:pt idx="6">
                  <c:v>18.920000000000002</c:v>
                </c:pt>
                <c:pt idx="7">
                  <c:v>3.24</c:v>
                </c:pt>
                <c:pt idx="8">
                  <c:v>16.13</c:v>
                </c:pt>
                <c:pt idx="9">
                  <c:v>1.0900000000000001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1-4E40-B35B-7AF5A11A5F0A}"/>
            </c:ext>
          </c:extLst>
        </c:ser>
        <c:ser>
          <c:idx val="2"/>
          <c:order val="2"/>
          <c:tx>
            <c:strRef>
              <c:f>NIÑO!$I$270</c:f>
              <c:strCache>
                <c:ptCount val="1"/>
                <c:pt idx="0">
                  <c:v>PROCESO &gt; 37,5  -  &lt; 41,7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NIÑO!$A$271:$A$280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NIÑO!$I$271:$I$280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1-4E40-B35B-7AF5A11A5F0A}"/>
            </c:ext>
          </c:extLst>
        </c:ser>
        <c:ser>
          <c:idx val="3"/>
          <c:order val="3"/>
          <c:tx>
            <c:strRef>
              <c:f>NIÑO!$J$270</c:f>
              <c:strCache>
                <c:ptCount val="1"/>
                <c:pt idx="0">
                  <c:v>OPTIMO &gt;= 41,7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NIÑO!$A$271:$A$280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NIÑO!$J$271:$J$280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1-4E40-B35B-7AF5A11A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2936"/>
        <c:axId val="608003328"/>
      </c:barChart>
      <c:lineChart>
        <c:grouping val="standard"/>
        <c:varyColors val="0"/>
        <c:ser>
          <c:idx val="0"/>
          <c:order val="0"/>
          <c:tx>
            <c:strRef>
              <c:f>NIÑO!$E$270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NIÑO!$A$271:$A$280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NIÑO!$E$271:$E$280</c:f>
              <c:numCache>
                <c:formatCode>0.0</c:formatCode>
                <c:ptCount val="10"/>
                <c:pt idx="0" formatCode="0">
                  <c:v>41.666666666666671</c:v>
                </c:pt>
                <c:pt idx="1">
                  <c:v>41.666666666666671</c:v>
                </c:pt>
                <c:pt idx="2">
                  <c:v>41.666666666666671</c:v>
                </c:pt>
                <c:pt idx="3">
                  <c:v>41.666666666666671</c:v>
                </c:pt>
                <c:pt idx="4">
                  <c:v>41.666666666666671</c:v>
                </c:pt>
                <c:pt idx="5">
                  <c:v>41.666666666666671</c:v>
                </c:pt>
                <c:pt idx="6">
                  <c:v>41.666666666666671</c:v>
                </c:pt>
                <c:pt idx="7">
                  <c:v>41.666666666666671</c:v>
                </c:pt>
                <c:pt idx="8">
                  <c:v>41.666666666666671</c:v>
                </c:pt>
                <c:pt idx="9">
                  <c:v>41.666666666666671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F1-4E40-B35B-7AF5A11A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2936"/>
        <c:axId val="608003328"/>
      </c:lineChart>
      <c:catAx>
        <c:axId val="60800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3328"/>
        <c:crosses val="autoZero"/>
        <c:auto val="1"/>
        <c:lblAlgn val="ctr"/>
        <c:lblOffset val="1"/>
        <c:noMultiLvlLbl val="0"/>
      </c:catAx>
      <c:valAx>
        <c:axId val="6080033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293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148323748895039E-2"/>
          <c:y val="0.75230491571946057"/>
          <c:w val="0.94966537235699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NIÑO!$V$290</c:f>
          <c:strCache>
            <c:ptCount val="1"/>
            <c:pt idx="0">
              <c:v>RED. MOYOBAMBA:  15. NIÑOS DE &lt; 1 AÑOS CONTROLADOS CRED  - POR MICROREDES :   ENERO - MAYO 2022</c:v>
            </c:pt>
          </c:strCache>
        </c:strRef>
      </c:tx>
      <c:layout>
        <c:manualLayout>
          <c:xMode val="edge"/>
          <c:yMode val="edge"/>
          <c:x val="0.12337521988796485"/>
          <c:y val="1.6391467832282156E-2"/>
        </c:manualLayout>
      </c:layout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NIÑO!$H$290</c:f>
              <c:strCache>
                <c:ptCount val="1"/>
                <c:pt idx="0">
                  <c:v>DEFICIENTE &lt;= 37,5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NIÑO!$A$291:$A$299</c:f>
            </c:multiLvlStrRef>
          </c:cat>
          <c:val>
            <c:numRef>
              <c:f>NIÑO!$H$291:$H$299</c:f>
            </c:numRef>
          </c:val>
          <c:extLst>
            <c:ext xmlns:c16="http://schemas.microsoft.com/office/drawing/2014/chart" uri="{C3380CC4-5D6E-409C-BE32-E72D297353CC}">
              <c16:uniqueId val="{00000000-11C9-4624-B5EE-7CBCDD1FC772}"/>
            </c:ext>
          </c:extLst>
        </c:ser>
        <c:ser>
          <c:idx val="2"/>
          <c:order val="2"/>
          <c:tx>
            <c:strRef>
              <c:f>NIÑO!$I$290</c:f>
              <c:strCache>
                <c:ptCount val="1"/>
                <c:pt idx="0">
                  <c:v>PROCESO &gt; 37,5  -  &lt; 41,7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NIÑO!$A$291:$A$299</c:f>
            </c:multiLvlStrRef>
          </c:cat>
          <c:val>
            <c:numRef>
              <c:f>NIÑO!$I$291:$I$299</c:f>
            </c:numRef>
          </c:val>
          <c:extLst>
            <c:ext xmlns:c16="http://schemas.microsoft.com/office/drawing/2014/chart" uri="{C3380CC4-5D6E-409C-BE32-E72D297353CC}">
              <c16:uniqueId val="{00000001-11C9-4624-B5EE-7CBCDD1FC772}"/>
            </c:ext>
          </c:extLst>
        </c:ser>
        <c:ser>
          <c:idx val="3"/>
          <c:order val="3"/>
          <c:tx>
            <c:strRef>
              <c:f>NIÑO!$J$290</c:f>
              <c:strCache>
                <c:ptCount val="1"/>
                <c:pt idx="0">
                  <c:v>OPTIMO &gt;= 41,7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C9-4624-B5EE-7CBCDD1FC772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NIÑO!$A$291:$A$299</c:f>
            </c:multiLvlStrRef>
          </c:cat>
          <c:val>
            <c:numRef>
              <c:f>NIÑO!$J$291:$J$299</c:f>
            </c:numRef>
          </c:val>
          <c:extLst>
            <c:ext xmlns:c16="http://schemas.microsoft.com/office/drawing/2014/chart" uri="{C3380CC4-5D6E-409C-BE32-E72D297353CC}">
              <c16:uniqueId val="{00000003-11C9-4624-B5EE-7CBCDD1FC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4112"/>
        <c:axId val="608004504"/>
      </c:barChart>
      <c:lineChart>
        <c:grouping val="standard"/>
        <c:varyColors val="0"/>
        <c:ser>
          <c:idx val="0"/>
          <c:order val="0"/>
          <c:tx>
            <c:strRef>
              <c:f>NIÑO!$E$290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NIÑO!$A$291:$A$299</c:f>
            </c:multiLvlStrRef>
          </c:cat>
          <c:val>
            <c:numRef>
              <c:f>NIÑO!$E$291:$E$299</c:f>
            </c:numRef>
          </c:val>
          <c:smooth val="0"/>
          <c:extLst>
            <c:ext xmlns:c16="http://schemas.microsoft.com/office/drawing/2014/chart" uri="{C3380CC4-5D6E-409C-BE32-E72D297353CC}">
              <c16:uniqueId val="{00000004-11C9-4624-B5EE-7CBCDD1FC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4112"/>
        <c:axId val="608004504"/>
      </c:lineChart>
      <c:catAx>
        <c:axId val="60800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4504"/>
        <c:crosses val="autoZero"/>
        <c:auto val="1"/>
        <c:lblAlgn val="ctr"/>
        <c:lblOffset val="1"/>
        <c:noMultiLvlLbl val="0"/>
      </c:catAx>
      <c:valAx>
        <c:axId val="6080045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411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0072684374945342E-2"/>
          <c:y val="0.75230491571946057"/>
          <c:w val="0.9578166511048914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33618</xdr:colOff>
      <xdr:row>41</xdr:row>
      <xdr:rowOff>78441</xdr:rowOff>
    </xdr:from>
    <xdr:to>
      <xdr:col>18</xdr:col>
      <xdr:colOff>24093</xdr:colOff>
      <xdr:row>60</xdr:row>
      <xdr:rowOff>87966</xdr:rowOff>
    </xdr:to>
    <xdr:graphicFrame macro="">
      <xdr:nvGraphicFramePr>
        <xdr:cNvPr id="4" name="37 Gráfico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10583</xdr:colOff>
      <xdr:row>103</xdr:row>
      <xdr:rowOff>69725</xdr:rowOff>
    </xdr:from>
    <xdr:to>
      <xdr:col>18</xdr:col>
      <xdr:colOff>4793</xdr:colOff>
      <xdr:row>122</xdr:row>
      <xdr:rowOff>79250</xdr:rowOff>
    </xdr:to>
    <xdr:graphicFrame macro="">
      <xdr:nvGraphicFramePr>
        <xdr:cNvPr id="5" name="37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11206</xdr:colOff>
      <xdr:row>164</xdr:row>
      <xdr:rowOff>112059</xdr:rowOff>
    </xdr:from>
    <xdr:to>
      <xdr:col>18</xdr:col>
      <xdr:colOff>1681</xdr:colOff>
      <xdr:row>183</xdr:row>
      <xdr:rowOff>121584</xdr:rowOff>
    </xdr:to>
    <xdr:graphicFrame macro="">
      <xdr:nvGraphicFramePr>
        <xdr:cNvPr id="6" name="37 Gráfic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185</xdr:row>
      <xdr:rowOff>123264</xdr:rowOff>
    </xdr:from>
    <xdr:to>
      <xdr:col>17</xdr:col>
      <xdr:colOff>819710</xdr:colOff>
      <xdr:row>204</xdr:row>
      <xdr:rowOff>132789</xdr:rowOff>
    </xdr:to>
    <xdr:graphicFrame macro="">
      <xdr:nvGraphicFramePr>
        <xdr:cNvPr id="7" name="37 Gráfic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95250</xdr:colOff>
      <xdr:row>205</xdr:row>
      <xdr:rowOff>79141</xdr:rowOff>
    </xdr:from>
    <xdr:to>
      <xdr:col>17</xdr:col>
      <xdr:colOff>807804</xdr:colOff>
      <xdr:row>224</xdr:row>
      <xdr:rowOff>88666</xdr:rowOff>
    </xdr:to>
    <xdr:graphicFrame macro="">
      <xdr:nvGraphicFramePr>
        <xdr:cNvPr id="8" name="37 Gráfico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11206</xdr:colOff>
      <xdr:row>226</xdr:row>
      <xdr:rowOff>134471</xdr:rowOff>
    </xdr:from>
    <xdr:to>
      <xdr:col>18</xdr:col>
      <xdr:colOff>1680</xdr:colOff>
      <xdr:row>245</xdr:row>
      <xdr:rowOff>143996</xdr:rowOff>
    </xdr:to>
    <xdr:graphicFrame macro="">
      <xdr:nvGraphicFramePr>
        <xdr:cNvPr id="9" name="37 Gráfic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246</xdr:row>
      <xdr:rowOff>89647</xdr:rowOff>
    </xdr:from>
    <xdr:to>
      <xdr:col>17</xdr:col>
      <xdr:colOff>819710</xdr:colOff>
      <xdr:row>265</xdr:row>
      <xdr:rowOff>99172</xdr:rowOff>
    </xdr:to>
    <xdr:graphicFrame macro="">
      <xdr:nvGraphicFramePr>
        <xdr:cNvPr id="10" name="37 Gráfic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11206</xdr:colOff>
      <xdr:row>267</xdr:row>
      <xdr:rowOff>112059</xdr:rowOff>
    </xdr:from>
    <xdr:to>
      <xdr:col>18</xdr:col>
      <xdr:colOff>1680</xdr:colOff>
      <xdr:row>286</xdr:row>
      <xdr:rowOff>121584</xdr:rowOff>
    </xdr:to>
    <xdr:graphicFrame macro="">
      <xdr:nvGraphicFramePr>
        <xdr:cNvPr id="11" name="37 Gráfic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287</xdr:row>
      <xdr:rowOff>89647</xdr:rowOff>
    </xdr:from>
    <xdr:to>
      <xdr:col>17</xdr:col>
      <xdr:colOff>819710</xdr:colOff>
      <xdr:row>306</xdr:row>
      <xdr:rowOff>99172</xdr:rowOff>
    </xdr:to>
    <xdr:graphicFrame macro="">
      <xdr:nvGraphicFramePr>
        <xdr:cNvPr id="12" name="37 Gráfic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308</xdr:row>
      <xdr:rowOff>134471</xdr:rowOff>
    </xdr:from>
    <xdr:to>
      <xdr:col>17</xdr:col>
      <xdr:colOff>819710</xdr:colOff>
      <xdr:row>327</xdr:row>
      <xdr:rowOff>143995</xdr:rowOff>
    </xdr:to>
    <xdr:graphicFrame macro="">
      <xdr:nvGraphicFramePr>
        <xdr:cNvPr id="13" name="37 Gráfico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11206</xdr:colOff>
      <xdr:row>328</xdr:row>
      <xdr:rowOff>67235</xdr:rowOff>
    </xdr:from>
    <xdr:to>
      <xdr:col>18</xdr:col>
      <xdr:colOff>1680</xdr:colOff>
      <xdr:row>347</xdr:row>
      <xdr:rowOff>76760</xdr:rowOff>
    </xdr:to>
    <xdr:graphicFrame macro="">
      <xdr:nvGraphicFramePr>
        <xdr:cNvPr id="14" name="37 Gráfico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11205</xdr:colOff>
      <xdr:row>349</xdr:row>
      <xdr:rowOff>98752</xdr:rowOff>
    </xdr:from>
    <xdr:to>
      <xdr:col>18</xdr:col>
      <xdr:colOff>1679</xdr:colOff>
      <xdr:row>368</xdr:row>
      <xdr:rowOff>108277</xdr:rowOff>
    </xdr:to>
    <xdr:graphicFrame macro="">
      <xdr:nvGraphicFramePr>
        <xdr:cNvPr id="15" name="37 Gráfic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11906</xdr:colOff>
      <xdr:row>369</xdr:row>
      <xdr:rowOff>126066</xdr:rowOff>
    </xdr:from>
    <xdr:to>
      <xdr:col>17</xdr:col>
      <xdr:colOff>831616</xdr:colOff>
      <xdr:row>388</xdr:row>
      <xdr:rowOff>135591</xdr:rowOff>
    </xdr:to>
    <xdr:graphicFrame macro="">
      <xdr:nvGraphicFramePr>
        <xdr:cNvPr id="16" name="37 Gráfic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0</xdr:colOff>
      <xdr:row>390</xdr:row>
      <xdr:rowOff>100853</xdr:rowOff>
    </xdr:from>
    <xdr:to>
      <xdr:col>17</xdr:col>
      <xdr:colOff>819710</xdr:colOff>
      <xdr:row>409</xdr:row>
      <xdr:rowOff>110377</xdr:rowOff>
    </xdr:to>
    <xdr:graphicFrame macro="">
      <xdr:nvGraphicFramePr>
        <xdr:cNvPr id="17" name="37 Gráfico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0</xdr:colOff>
      <xdr:row>410</xdr:row>
      <xdr:rowOff>100853</xdr:rowOff>
    </xdr:from>
    <xdr:to>
      <xdr:col>17</xdr:col>
      <xdr:colOff>819710</xdr:colOff>
      <xdr:row>429</xdr:row>
      <xdr:rowOff>110377</xdr:rowOff>
    </xdr:to>
    <xdr:graphicFrame macro="">
      <xdr:nvGraphicFramePr>
        <xdr:cNvPr id="18" name="37 Gráfico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0</xdr:colOff>
      <xdr:row>431</xdr:row>
      <xdr:rowOff>123264</xdr:rowOff>
    </xdr:from>
    <xdr:to>
      <xdr:col>17</xdr:col>
      <xdr:colOff>819710</xdr:colOff>
      <xdr:row>450</xdr:row>
      <xdr:rowOff>132789</xdr:rowOff>
    </xdr:to>
    <xdr:graphicFrame macro="">
      <xdr:nvGraphicFramePr>
        <xdr:cNvPr id="19" name="37 Gráfico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0</xdr:colOff>
      <xdr:row>451</xdr:row>
      <xdr:rowOff>100853</xdr:rowOff>
    </xdr:from>
    <xdr:to>
      <xdr:col>17</xdr:col>
      <xdr:colOff>819710</xdr:colOff>
      <xdr:row>470</xdr:row>
      <xdr:rowOff>110378</xdr:rowOff>
    </xdr:to>
    <xdr:graphicFrame macro="">
      <xdr:nvGraphicFramePr>
        <xdr:cNvPr id="20" name="37 Gráfico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89647</xdr:colOff>
      <xdr:row>471</xdr:row>
      <xdr:rowOff>123265</xdr:rowOff>
    </xdr:from>
    <xdr:to>
      <xdr:col>17</xdr:col>
      <xdr:colOff>808504</xdr:colOff>
      <xdr:row>490</xdr:row>
      <xdr:rowOff>132789</xdr:rowOff>
    </xdr:to>
    <xdr:graphicFrame macro="">
      <xdr:nvGraphicFramePr>
        <xdr:cNvPr id="21" name="37 Gráfico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0</xdr:colOff>
      <xdr:row>491</xdr:row>
      <xdr:rowOff>89648</xdr:rowOff>
    </xdr:from>
    <xdr:to>
      <xdr:col>17</xdr:col>
      <xdr:colOff>819710</xdr:colOff>
      <xdr:row>510</xdr:row>
      <xdr:rowOff>99172</xdr:rowOff>
    </xdr:to>
    <xdr:graphicFrame macro="">
      <xdr:nvGraphicFramePr>
        <xdr:cNvPr id="22" name="37 Gráfico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52917</xdr:colOff>
      <xdr:row>534</xdr:row>
      <xdr:rowOff>131981</xdr:rowOff>
    </xdr:from>
    <xdr:to>
      <xdr:col>18</xdr:col>
      <xdr:colOff>47127</xdr:colOff>
      <xdr:row>553</xdr:row>
      <xdr:rowOff>141505</xdr:rowOff>
    </xdr:to>
    <xdr:graphicFrame macro="">
      <xdr:nvGraphicFramePr>
        <xdr:cNvPr id="23" name="37 Gráfico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19843</xdr:colOff>
      <xdr:row>514</xdr:row>
      <xdr:rowOff>119063</xdr:rowOff>
    </xdr:from>
    <xdr:to>
      <xdr:col>18</xdr:col>
      <xdr:colOff>14053</xdr:colOff>
      <xdr:row>533</xdr:row>
      <xdr:rowOff>128587</xdr:rowOff>
    </xdr:to>
    <xdr:graphicFrame macro="">
      <xdr:nvGraphicFramePr>
        <xdr:cNvPr id="24" name="37 Gráfico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100231</xdr:colOff>
      <xdr:row>62</xdr:row>
      <xdr:rowOff>148166</xdr:rowOff>
    </xdr:from>
    <xdr:to>
      <xdr:col>17</xdr:col>
      <xdr:colOff>822823</xdr:colOff>
      <xdr:row>81</xdr:row>
      <xdr:rowOff>157691</xdr:rowOff>
    </xdr:to>
    <xdr:graphicFrame macro="">
      <xdr:nvGraphicFramePr>
        <xdr:cNvPr id="25" name="37 Gráfico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11206</xdr:colOff>
      <xdr:row>82</xdr:row>
      <xdr:rowOff>112059</xdr:rowOff>
    </xdr:from>
    <xdr:to>
      <xdr:col>18</xdr:col>
      <xdr:colOff>1681</xdr:colOff>
      <xdr:row>101</xdr:row>
      <xdr:rowOff>121584</xdr:rowOff>
    </xdr:to>
    <xdr:graphicFrame macro="">
      <xdr:nvGraphicFramePr>
        <xdr:cNvPr id="26" name="37 Gráfico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21788</xdr:colOff>
      <xdr:row>123</xdr:row>
      <xdr:rowOff>114548</xdr:rowOff>
    </xdr:from>
    <xdr:to>
      <xdr:col>18</xdr:col>
      <xdr:colOff>15998</xdr:colOff>
      <xdr:row>142</xdr:row>
      <xdr:rowOff>124074</xdr:rowOff>
    </xdr:to>
    <xdr:graphicFrame macro="">
      <xdr:nvGraphicFramePr>
        <xdr:cNvPr id="27" name="37 Gráfico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33618</xdr:colOff>
      <xdr:row>144</xdr:row>
      <xdr:rowOff>89647</xdr:rowOff>
    </xdr:from>
    <xdr:to>
      <xdr:col>18</xdr:col>
      <xdr:colOff>24093</xdr:colOff>
      <xdr:row>163</xdr:row>
      <xdr:rowOff>99172</xdr:rowOff>
    </xdr:to>
    <xdr:graphicFrame macro="">
      <xdr:nvGraphicFramePr>
        <xdr:cNvPr id="28" name="37 Gráfico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20731</xdr:colOff>
      <xdr:row>21</xdr:row>
      <xdr:rowOff>123264</xdr:rowOff>
    </xdr:from>
    <xdr:to>
      <xdr:col>18</xdr:col>
      <xdr:colOff>11206</xdr:colOff>
      <xdr:row>40</xdr:row>
      <xdr:rowOff>132789</xdr:rowOff>
    </xdr:to>
    <xdr:graphicFrame macro="">
      <xdr:nvGraphicFramePr>
        <xdr:cNvPr id="29" name="37 Gráfico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35719</xdr:colOff>
      <xdr:row>0</xdr:row>
      <xdr:rowOff>95250</xdr:rowOff>
    </xdr:from>
    <xdr:to>
      <xdr:col>18</xdr:col>
      <xdr:colOff>26194</xdr:colOff>
      <xdr:row>19</xdr:row>
      <xdr:rowOff>104775</xdr:rowOff>
    </xdr:to>
    <xdr:graphicFrame macro="">
      <xdr:nvGraphicFramePr>
        <xdr:cNvPr id="31" name="37 Gráfico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15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292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AFE49143-1F1C-4F96-858C-4A2F690E3127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16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313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9DA24075-4672-4F84-AB82-2D5E19C16BF5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17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333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DB640491-A374-4259-9D15-F5EA1D27E7AD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18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354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7BEBB15D-E7F8-434B-ABE4-4B6C8570DF2A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19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373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14F5C9A6-CB3A-4B18-AB5A-314A137D3BC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20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396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5106784E-6A7C-439D-9F2D-D5BA52ABA62F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415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92A7C03F-776B-425E-9529-A16571CCF482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22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436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3D98E852-3769-4AAA-8AEF-00544F047D70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23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456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A67A0723-BA4E-4709-B70F-C6635E98DF14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24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476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46897277-126C-457F-84F2-AC1F0ED7CED7}" type="TxLink">
            <a:rPr lang="en-US" sz="1100" b="0" i="0" u="none" strike="noStrike">
              <a:solidFill>
                <a:srgbClr val="0D0D0D"/>
              </a:solidFill>
              <a:latin typeface="Calibri"/>
              <a:cs typeface="Calibri"/>
            </a:rPr>
            <a:pPr/>
            <a:t>El gráfico muestra el avance en %,con resultado ALERTA, donde la población a trabajar es de 1771 niños, que son los casos identificados con neumonia ,encontrando un total de 1250 niños complicados, donde el objetivo es no tener CASOS.</a:t>
          </a:fld>
          <a:endParaRPr lang="es-PE"/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03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46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11AB5B71-9B44-4B64-B79A-EC8A6E11D723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25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502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1730C221-BECB-49F3-B83D-E7D16AF19D21}" type="TxLink">
            <a:rPr lang="en-US" sz="1100" b="0" i="0" u="none" strike="noStrike">
              <a:solidFill>
                <a:srgbClr val="0D0D0D"/>
              </a:solidFill>
              <a:latin typeface="Calibri"/>
              <a:cs typeface="Calibri"/>
            </a:rPr>
            <a:pPr/>
            <a:t>#¡REF!</a:t>
          </a:fld>
          <a:endParaRPr lang="es-PE"/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25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A$548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950BC711-8A77-4B5D-863E-7BC4133CA7B1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Certificado de nacido vivo (CNV)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24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A$548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950BC711-8A77-4B5D-863E-7BC4133CA7B1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Certificado de nacido vivo (CNV)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04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67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65A05080-1584-4E9A-AF6E-EF07E8D74A1C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05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87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5A59B5F3-885D-4C55-ADFC-D4F0B17EE646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07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128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039219D6-7555-4858-80C8-221F3468842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08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148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7BB22F0A-7713-4336-9416-A95AF86074C3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02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8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D41E0BEF-4475-4D7F-B278-B55C62A17401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8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D41E0BEF-4475-4D7F-B278-B55C62A17401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11207</xdr:colOff>
      <xdr:row>0</xdr:row>
      <xdr:rowOff>44824</xdr:rowOff>
    </xdr:from>
    <xdr:to>
      <xdr:col>17</xdr:col>
      <xdr:colOff>808507</xdr:colOff>
      <xdr:row>19</xdr:row>
      <xdr:rowOff>54349</xdr:rowOff>
    </xdr:to>
    <xdr:graphicFrame macro="">
      <xdr:nvGraphicFramePr>
        <xdr:cNvPr id="4" name="37 Gráfico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22411</xdr:colOff>
      <xdr:row>21</xdr:row>
      <xdr:rowOff>134470</xdr:rowOff>
    </xdr:from>
    <xdr:to>
      <xdr:col>17</xdr:col>
      <xdr:colOff>819711</xdr:colOff>
      <xdr:row>40</xdr:row>
      <xdr:rowOff>143995</xdr:rowOff>
    </xdr:to>
    <xdr:graphicFrame macro="">
      <xdr:nvGraphicFramePr>
        <xdr:cNvPr id="7" name="37 Gráfico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100851</xdr:colOff>
      <xdr:row>41</xdr:row>
      <xdr:rowOff>78441</xdr:rowOff>
    </xdr:from>
    <xdr:to>
      <xdr:col>17</xdr:col>
      <xdr:colOff>829235</xdr:colOff>
      <xdr:row>60</xdr:row>
      <xdr:rowOff>87966</xdr:rowOff>
    </xdr:to>
    <xdr:graphicFrame macro="">
      <xdr:nvGraphicFramePr>
        <xdr:cNvPr id="8" name="37 Gráfic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22411</xdr:colOff>
      <xdr:row>82</xdr:row>
      <xdr:rowOff>67236</xdr:rowOff>
    </xdr:from>
    <xdr:to>
      <xdr:col>18</xdr:col>
      <xdr:colOff>11205</xdr:colOff>
      <xdr:row>101</xdr:row>
      <xdr:rowOff>76761</xdr:rowOff>
    </xdr:to>
    <xdr:graphicFrame macro="">
      <xdr:nvGraphicFramePr>
        <xdr:cNvPr id="9" name="37 Gráfic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11206</xdr:colOff>
      <xdr:row>123</xdr:row>
      <xdr:rowOff>100853</xdr:rowOff>
    </xdr:from>
    <xdr:to>
      <xdr:col>18</xdr:col>
      <xdr:colOff>12886</xdr:colOff>
      <xdr:row>142</xdr:row>
      <xdr:rowOff>110378</xdr:rowOff>
    </xdr:to>
    <xdr:graphicFrame macro="">
      <xdr:nvGraphicFramePr>
        <xdr:cNvPr id="10" name="37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33618</xdr:colOff>
      <xdr:row>144</xdr:row>
      <xdr:rowOff>78441</xdr:rowOff>
    </xdr:from>
    <xdr:to>
      <xdr:col>18</xdr:col>
      <xdr:colOff>0</xdr:colOff>
      <xdr:row>163</xdr:row>
      <xdr:rowOff>67236</xdr:rowOff>
    </xdr:to>
    <xdr:graphicFrame macro="">
      <xdr:nvGraphicFramePr>
        <xdr:cNvPr id="11" name="37 Gráfic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11206</xdr:colOff>
      <xdr:row>164</xdr:row>
      <xdr:rowOff>145677</xdr:rowOff>
    </xdr:from>
    <xdr:to>
      <xdr:col>18</xdr:col>
      <xdr:colOff>0</xdr:colOff>
      <xdr:row>183</xdr:row>
      <xdr:rowOff>145678</xdr:rowOff>
    </xdr:to>
    <xdr:graphicFrame macro="">
      <xdr:nvGraphicFramePr>
        <xdr:cNvPr id="12" name="37 Gráfico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11206</xdr:colOff>
      <xdr:row>185</xdr:row>
      <xdr:rowOff>89646</xdr:rowOff>
    </xdr:from>
    <xdr:to>
      <xdr:col>18</xdr:col>
      <xdr:colOff>0</xdr:colOff>
      <xdr:row>204</xdr:row>
      <xdr:rowOff>100852</xdr:rowOff>
    </xdr:to>
    <xdr:graphicFrame macro="">
      <xdr:nvGraphicFramePr>
        <xdr:cNvPr id="13" name="37 Gráfico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22412</xdr:colOff>
      <xdr:row>205</xdr:row>
      <xdr:rowOff>145678</xdr:rowOff>
    </xdr:from>
    <xdr:to>
      <xdr:col>18</xdr:col>
      <xdr:colOff>11206</xdr:colOff>
      <xdr:row>224</xdr:row>
      <xdr:rowOff>145678</xdr:rowOff>
    </xdr:to>
    <xdr:graphicFrame macro="">
      <xdr:nvGraphicFramePr>
        <xdr:cNvPr id="14" name="37 Gráfico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11205</xdr:colOff>
      <xdr:row>62</xdr:row>
      <xdr:rowOff>134470</xdr:rowOff>
    </xdr:from>
    <xdr:to>
      <xdr:col>18</xdr:col>
      <xdr:colOff>11205</xdr:colOff>
      <xdr:row>81</xdr:row>
      <xdr:rowOff>143995</xdr:rowOff>
    </xdr:to>
    <xdr:graphicFrame macro="">
      <xdr:nvGraphicFramePr>
        <xdr:cNvPr id="15" name="37 Gráfico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11206</xdr:colOff>
      <xdr:row>103</xdr:row>
      <xdr:rowOff>100854</xdr:rowOff>
    </xdr:from>
    <xdr:to>
      <xdr:col>18</xdr:col>
      <xdr:colOff>0</xdr:colOff>
      <xdr:row>122</xdr:row>
      <xdr:rowOff>89647</xdr:rowOff>
    </xdr:to>
    <xdr:graphicFrame macro="">
      <xdr:nvGraphicFramePr>
        <xdr:cNvPr id="16" name="37 Gráfico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11206</xdr:colOff>
      <xdr:row>227</xdr:row>
      <xdr:rowOff>89646</xdr:rowOff>
    </xdr:from>
    <xdr:to>
      <xdr:col>18</xdr:col>
      <xdr:colOff>0</xdr:colOff>
      <xdr:row>246</xdr:row>
      <xdr:rowOff>100852</xdr:rowOff>
    </xdr:to>
    <xdr:graphicFrame macro="">
      <xdr:nvGraphicFramePr>
        <xdr:cNvPr id="17" name="37 Gráfico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22412</xdr:colOff>
      <xdr:row>247</xdr:row>
      <xdr:rowOff>145678</xdr:rowOff>
    </xdr:from>
    <xdr:to>
      <xdr:col>18</xdr:col>
      <xdr:colOff>11206</xdr:colOff>
      <xdr:row>266</xdr:row>
      <xdr:rowOff>145678</xdr:rowOff>
    </xdr:to>
    <xdr:graphicFrame macro="">
      <xdr:nvGraphicFramePr>
        <xdr:cNvPr id="18" name="37 Gráfico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06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108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38EE91AD-88E2-4B36-9035-71ABB81EF1A8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72545AC9-FA94-4019-8B10-DE3FA93CBBF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02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829A51E5-C019-4F2B-80CB-88B980C6FF9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03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05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07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08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09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10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04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09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169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899445FD-FCC8-47C7-BA68-4A1628F9D7E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06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12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13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10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190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13A5C729-F8B6-4447-9996-01A6BACFAC37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211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1A22A99E-DDE2-4B61-8FD1-E92A2FA3F7ED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El gráfico muestra el avance en % donde se  observa deserción positiva y negativa : un nivel optimo es cuando hay 0 desercion, en proceso de -5 hasta +5 pasado esos parametos se considera un nivel feficiente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12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231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28ABA3E6-7FC3-4A5B-84A5-C6099BBC84B7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El gráfico muestra el avance en % donde se  observa deserción positiva y negativa : un nivel optimo es cuando hay 0 desercion, en proceso de -5 hasta +5 pasado esos parametos se considera un nivel feficiente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13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251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4ECE3A59-27DE-4225-8937-618247829D45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El gráfico muestra el avance en % donde se  observa deserción positiva y negativa : un nivel optimo es cuando hay 0 desercion, en proceso de -5 hasta +5 pasado esos parametos se considera un nivel feficiente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272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491EE7A7-299E-4BC7-A336-6FE962FC2F5F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835c431957f361d/ReHISApp/AppReHIS/bin/Debug/Plantillas/Indic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SIEN"/>
      <sheetName val="METAS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ACUMULADO"/>
      <sheetName val="NIÑO"/>
      <sheetName val="NUTRICION"/>
      <sheetName val="ANALISIS_NIÑO"/>
      <sheetName val="W"/>
      <sheetName val="MATERNO"/>
      <sheetName val="CANCER"/>
      <sheetName val="PSICOLOGIA"/>
      <sheetName val="SALUD BUCAL"/>
      <sheetName val="ITS"/>
      <sheetName val="TRANSMISIBLES"/>
      <sheetName val="SAMA"/>
      <sheetName val="PROMSA"/>
      <sheetName val="ATENCIONES Y ATENDI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9">
          <cell r="H209" t="str">
            <v>DEFICIENTE + 5%; -5%</v>
          </cell>
          <cell r="I209" t="str">
            <v>PROCESO 0 a + 4.99 , 0 a -4.99</v>
          </cell>
          <cell r="J209" t="str">
            <v>SIN DESERCION</v>
          </cell>
        </row>
        <row r="210">
          <cell r="A210" t="str">
            <v>RED</v>
          </cell>
          <cell r="H210" t="str">
            <v/>
          </cell>
          <cell r="I210">
            <v>-4.1760722347629793</v>
          </cell>
          <cell r="J210" t="str">
            <v/>
          </cell>
        </row>
        <row r="211">
          <cell r="A211" t="str">
            <v>LLUYLLUC</v>
          </cell>
          <cell r="H211">
            <v>-26.349206349206348</v>
          </cell>
          <cell r="I211" t="str">
            <v/>
          </cell>
          <cell r="J211" t="str">
            <v/>
          </cell>
        </row>
        <row r="212">
          <cell r="A212" t="str">
            <v>JERILLO</v>
          </cell>
          <cell r="H212">
            <v>14.893617021276595</v>
          </cell>
          <cell r="I212" t="str">
            <v/>
          </cell>
          <cell r="J212" t="str">
            <v/>
          </cell>
        </row>
        <row r="213">
          <cell r="A213" t="str">
            <v>YANTALO</v>
          </cell>
          <cell r="H213">
            <v>28.07017543859649</v>
          </cell>
          <cell r="I213" t="str">
            <v/>
          </cell>
          <cell r="J213" t="str">
            <v/>
          </cell>
        </row>
        <row r="214">
          <cell r="A214" t="str">
            <v>SORITOR</v>
          </cell>
          <cell r="H214" t="str">
            <v/>
          </cell>
          <cell r="I214">
            <v>1.4563106796116505</v>
          </cell>
          <cell r="J214" t="str">
            <v/>
          </cell>
        </row>
        <row r="215">
          <cell r="A215" t="str">
            <v>JEPELAC</v>
          </cell>
          <cell r="H215">
            <v>29.213483146067414</v>
          </cell>
          <cell r="I215" t="str">
            <v/>
          </cell>
          <cell r="J215" t="str">
            <v/>
          </cell>
        </row>
        <row r="216">
          <cell r="A216" t="str">
            <v>ROQUE</v>
          </cell>
          <cell r="H216">
            <v>26.666666666666668</v>
          </cell>
          <cell r="I216" t="str">
            <v/>
          </cell>
          <cell r="J216" t="str">
            <v/>
          </cell>
        </row>
        <row r="217">
          <cell r="A217" t="str">
            <v>CALZADA</v>
          </cell>
          <cell r="H217">
            <v>-67.741935483870961</v>
          </cell>
          <cell r="I217" t="str">
            <v/>
          </cell>
          <cell r="J217" t="str">
            <v/>
          </cell>
        </row>
        <row r="218">
          <cell r="A218" t="str">
            <v>P. LIBRE</v>
          </cell>
          <cell r="H218">
            <v>-7.5757575757575761</v>
          </cell>
          <cell r="I218" t="str">
            <v/>
          </cell>
          <cell r="J218" t="str">
            <v/>
          </cell>
        </row>
        <row r="229">
          <cell r="H229" t="str">
            <v>DEFICIENTE + 5%; -5%</v>
          </cell>
          <cell r="I229" t="str">
            <v>PROCESO 0 a + 4.99 , 0 a -4.99</v>
          </cell>
          <cell r="J229" t="str">
            <v>SIN DESERCION</v>
          </cell>
        </row>
        <row r="230">
          <cell r="A230" t="str">
            <v>RED</v>
          </cell>
          <cell r="H230" t="e">
            <v>#DIV/0!</v>
          </cell>
          <cell r="I230" t="e">
            <v>#DIV/0!</v>
          </cell>
          <cell r="J230" t="e">
            <v>#DIV/0!</v>
          </cell>
        </row>
        <row r="231">
          <cell r="A231" t="str">
            <v>LLUYLLUC</v>
          </cell>
          <cell r="H231" t="e">
            <v>#DIV/0!</v>
          </cell>
          <cell r="I231" t="e">
            <v>#DIV/0!</v>
          </cell>
          <cell r="J231" t="e">
            <v>#DIV/0!</v>
          </cell>
        </row>
        <row r="232">
          <cell r="A232" t="str">
            <v>JERILLO</v>
          </cell>
          <cell r="H232" t="e">
            <v>#DIV/0!</v>
          </cell>
          <cell r="I232" t="e">
            <v>#DIV/0!</v>
          </cell>
          <cell r="J232" t="e">
            <v>#DIV/0!</v>
          </cell>
        </row>
        <row r="233">
          <cell r="A233" t="str">
            <v>YANTALO</v>
          </cell>
          <cell r="H233" t="e">
            <v>#DIV/0!</v>
          </cell>
          <cell r="I233" t="e">
            <v>#DIV/0!</v>
          </cell>
          <cell r="J233" t="e">
            <v>#DIV/0!</v>
          </cell>
        </row>
        <row r="234">
          <cell r="A234" t="str">
            <v>SORITOR</v>
          </cell>
          <cell r="H234" t="e">
            <v>#DIV/0!</v>
          </cell>
          <cell r="I234" t="e">
            <v>#DIV/0!</v>
          </cell>
          <cell r="J234" t="e">
            <v>#DIV/0!</v>
          </cell>
        </row>
        <row r="235">
          <cell r="A235" t="str">
            <v>JEPELAC</v>
          </cell>
          <cell r="H235" t="e">
            <v>#DIV/0!</v>
          </cell>
          <cell r="I235" t="e">
            <v>#DIV/0!</v>
          </cell>
          <cell r="J235" t="e">
            <v>#DIV/0!</v>
          </cell>
        </row>
        <row r="236">
          <cell r="A236" t="str">
            <v>ROQUE</v>
          </cell>
          <cell r="H236" t="e">
            <v>#DIV/0!</v>
          </cell>
          <cell r="I236" t="e">
            <v>#DIV/0!</v>
          </cell>
          <cell r="J236" t="e">
            <v>#DIV/0!</v>
          </cell>
        </row>
        <row r="237">
          <cell r="A237" t="str">
            <v>CALZADA</v>
          </cell>
          <cell r="H237" t="e">
            <v>#DIV/0!</v>
          </cell>
          <cell r="I237" t="e">
            <v>#DIV/0!</v>
          </cell>
          <cell r="J237" t="e">
            <v>#DIV/0!</v>
          </cell>
        </row>
        <row r="238">
          <cell r="A238" t="str">
            <v>P. LIBRE</v>
          </cell>
          <cell r="H238" t="e">
            <v>#DIV/0!</v>
          </cell>
          <cell r="I238" t="e">
            <v>#DIV/0!</v>
          </cell>
          <cell r="J238" t="e">
            <v>#DIV/0!</v>
          </cell>
        </row>
        <row r="249">
          <cell r="H249" t="str">
            <v>DEFICIENTE + 5%; -5%</v>
          </cell>
          <cell r="I249" t="str">
            <v>PROCESO 0 a + 4.99 , 0 a -4.99</v>
          </cell>
          <cell r="J249" t="str">
            <v>SIN DESERCION</v>
          </cell>
        </row>
        <row r="250">
          <cell r="A250" t="str">
            <v>RED</v>
          </cell>
          <cell r="H250">
            <v>21.770334928229666</v>
          </cell>
          <cell r="I250" t="str">
            <v/>
          </cell>
          <cell r="J250" t="str">
            <v/>
          </cell>
        </row>
        <row r="251">
          <cell r="A251" t="str">
            <v>LLUYLLUC</v>
          </cell>
          <cell r="H251">
            <v>-28.07017543859649</v>
          </cell>
          <cell r="I251" t="str">
            <v/>
          </cell>
          <cell r="J251" t="str">
            <v/>
          </cell>
        </row>
        <row r="252">
          <cell r="A252" t="str">
            <v>JERILLO</v>
          </cell>
          <cell r="H252">
            <v>-28.205128205128204</v>
          </cell>
          <cell r="I252" t="str">
            <v/>
          </cell>
          <cell r="J252" t="str">
            <v/>
          </cell>
        </row>
        <row r="253">
          <cell r="A253" t="str">
            <v>YANTALO</v>
          </cell>
          <cell r="H253">
            <v>61.53846153846154</v>
          </cell>
          <cell r="I253" t="str">
            <v/>
          </cell>
          <cell r="J253" t="str">
            <v/>
          </cell>
        </row>
        <row r="254">
          <cell r="A254" t="str">
            <v>SORITOR</v>
          </cell>
          <cell r="H254">
            <v>21.951219512195124</v>
          </cell>
          <cell r="I254" t="str">
            <v/>
          </cell>
          <cell r="J254" t="str">
            <v/>
          </cell>
        </row>
        <row r="255">
          <cell r="A255" t="str">
            <v>JEPELAC</v>
          </cell>
          <cell r="H255">
            <v>66.055045871559628</v>
          </cell>
          <cell r="I255" t="str">
            <v/>
          </cell>
          <cell r="J255" t="str">
            <v/>
          </cell>
        </row>
        <row r="256">
          <cell r="A256" t="str">
            <v>ROQUE</v>
          </cell>
          <cell r="H256">
            <v>74.117647058823536</v>
          </cell>
          <cell r="I256" t="str">
            <v/>
          </cell>
          <cell r="J256" t="str">
            <v/>
          </cell>
        </row>
        <row r="257">
          <cell r="A257" t="str">
            <v>CALZADA</v>
          </cell>
          <cell r="H257">
            <v>6.0606060606060606</v>
          </cell>
          <cell r="I257" t="str">
            <v/>
          </cell>
          <cell r="J257" t="str">
            <v/>
          </cell>
        </row>
        <row r="258">
          <cell r="A258" t="str">
            <v>P. LIBRE</v>
          </cell>
          <cell r="H258">
            <v>48.611111111111114</v>
          </cell>
          <cell r="I258" t="str">
            <v/>
          </cell>
          <cell r="J258" t="str">
            <v/>
          </cell>
        </row>
        <row r="474">
          <cell r="H474" t="str">
            <v>ALERTA &gt; 5,1</v>
          </cell>
          <cell r="I474" t="str">
            <v>PROCESO &gt; 0  -  &lt; 5,1</v>
          </cell>
          <cell r="J474" t="str">
            <v>SIN CASOS = 0</v>
          </cell>
        </row>
        <row r="475">
          <cell r="A475" t="str">
            <v>RED</v>
          </cell>
          <cell r="H475">
            <v>100</v>
          </cell>
          <cell r="I475" t="str">
            <v/>
          </cell>
          <cell r="J475" t="str">
            <v/>
          </cell>
        </row>
        <row r="476">
          <cell r="A476" t="str">
            <v>LLUYLLUC</v>
          </cell>
          <cell r="H476" t="str">
            <v/>
          </cell>
          <cell r="I476" t="str">
            <v/>
          </cell>
          <cell r="J476">
            <v>0</v>
          </cell>
        </row>
        <row r="477">
          <cell r="A477" t="str">
            <v>JERILLO</v>
          </cell>
          <cell r="H477">
            <v>100</v>
          </cell>
          <cell r="I477" t="str">
            <v/>
          </cell>
          <cell r="J477" t="str">
            <v/>
          </cell>
        </row>
        <row r="478">
          <cell r="A478" t="str">
            <v>YANTALO</v>
          </cell>
          <cell r="H478" t="str">
            <v/>
          </cell>
          <cell r="I478" t="str">
            <v/>
          </cell>
          <cell r="J478">
            <v>0</v>
          </cell>
        </row>
        <row r="479">
          <cell r="A479" t="str">
            <v>SORITOR</v>
          </cell>
          <cell r="H479" t="str">
            <v/>
          </cell>
          <cell r="I479" t="str">
            <v/>
          </cell>
          <cell r="J479">
            <v>0</v>
          </cell>
        </row>
        <row r="480">
          <cell r="A480" t="str">
            <v>JEPELAC</v>
          </cell>
          <cell r="H480" t="str">
            <v/>
          </cell>
          <cell r="I480" t="str">
            <v/>
          </cell>
          <cell r="J480">
            <v>0</v>
          </cell>
        </row>
        <row r="481">
          <cell r="A481" t="str">
            <v>ROQUE</v>
          </cell>
          <cell r="H481" t="str">
            <v/>
          </cell>
          <cell r="I481" t="str">
            <v/>
          </cell>
          <cell r="J481">
            <v>0</v>
          </cell>
        </row>
        <row r="482">
          <cell r="A482" t="str">
            <v>CALZADA</v>
          </cell>
          <cell r="H482" t="str">
            <v/>
          </cell>
          <cell r="I482" t="str">
            <v/>
          </cell>
          <cell r="J482">
            <v>0</v>
          </cell>
        </row>
        <row r="483">
          <cell r="A483" t="str">
            <v>P. LIBRE</v>
          </cell>
          <cell r="H483" t="str">
            <v/>
          </cell>
          <cell r="I483" t="str">
            <v/>
          </cell>
          <cell r="J483">
            <v>0</v>
          </cell>
        </row>
        <row r="494">
          <cell r="D494" t="str">
            <v>META</v>
          </cell>
          <cell r="H494" t="str">
            <v>DEFICIENTE &lt; = 84.99</v>
          </cell>
          <cell r="I494" t="str">
            <v>PROCESO &gt; 84.99  -  &lt; 100</v>
          </cell>
          <cell r="J494" t="str">
            <v>OPTIMO &gt; = 100</v>
          </cell>
        </row>
        <row r="495">
          <cell r="A495" t="str">
            <v>RED</v>
          </cell>
          <cell r="D495">
            <v>100</v>
          </cell>
          <cell r="H495">
            <v>0</v>
          </cell>
          <cell r="I495" t="str">
            <v/>
          </cell>
          <cell r="J495" t="str">
            <v/>
          </cell>
        </row>
        <row r="496">
          <cell r="A496" t="str">
            <v>LLUYLLUC</v>
          </cell>
          <cell r="D496">
            <v>100</v>
          </cell>
          <cell r="H496">
            <v>0</v>
          </cell>
          <cell r="I496" t="str">
            <v/>
          </cell>
          <cell r="J496" t="str">
            <v/>
          </cell>
        </row>
        <row r="497">
          <cell r="A497" t="str">
            <v>JERILLO</v>
          </cell>
          <cell r="D497">
            <v>100</v>
          </cell>
          <cell r="H497">
            <v>0</v>
          </cell>
          <cell r="I497" t="str">
            <v/>
          </cell>
          <cell r="J497" t="str">
            <v/>
          </cell>
        </row>
        <row r="498">
          <cell r="A498" t="str">
            <v>YANTALO</v>
          </cell>
          <cell r="D498">
            <v>100</v>
          </cell>
          <cell r="H498">
            <v>0</v>
          </cell>
          <cell r="I498" t="str">
            <v/>
          </cell>
          <cell r="J498" t="str">
            <v/>
          </cell>
        </row>
        <row r="499">
          <cell r="A499" t="str">
            <v>SORITOR</v>
          </cell>
          <cell r="D499">
            <v>100</v>
          </cell>
          <cell r="H499">
            <v>0</v>
          </cell>
          <cell r="I499" t="str">
            <v/>
          </cell>
          <cell r="J499" t="str">
            <v/>
          </cell>
        </row>
        <row r="500">
          <cell r="A500" t="str">
            <v>JEPELAC</v>
          </cell>
          <cell r="D500">
            <v>100</v>
          </cell>
          <cell r="H500">
            <v>0</v>
          </cell>
          <cell r="I500" t="str">
            <v/>
          </cell>
          <cell r="J500" t="str">
            <v/>
          </cell>
        </row>
        <row r="501">
          <cell r="A501" t="str">
            <v>ROQUE</v>
          </cell>
          <cell r="D501">
            <v>100</v>
          </cell>
          <cell r="H501">
            <v>0</v>
          </cell>
          <cell r="I501" t="str">
            <v/>
          </cell>
          <cell r="J501" t="str">
            <v/>
          </cell>
        </row>
        <row r="502">
          <cell r="A502" t="str">
            <v>CALZADA</v>
          </cell>
          <cell r="D502">
            <v>100</v>
          </cell>
          <cell r="H502">
            <v>0</v>
          </cell>
          <cell r="I502" t="str">
            <v/>
          </cell>
          <cell r="J502" t="str">
            <v/>
          </cell>
        </row>
        <row r="503">
          <cell r="A503" t="str">
            <v>P. LIBRE</v>
          </cell>
          <cell r="D503">
            <v>100</v>
          </cell>
          <cell r="H503">
            <v>0</v>
          </cell>
          <cell r="I503" t="str">
            <v/>
          </cell>
          <cell r="J503" t="str">
            <v/>
          </cell>
        </row>
        <row r="516">
          <cell r="B516" t="str">
            <v>Total RN CNV</v>
          </cell>
          <cell r="C516" t="str">
            <v>RN con bajo peso al nacer</v>
          </cell>
        </row>
        <row r="517">
          <cell r="A517" t="str">
            <v>RED</v>
          </cell>
          <cell r="B517">
            <v>0</v>
          </cell>
          <cell r="C517">
            <v>0</v>
          </cell>
        </row>
        <row r="518">
          <cell r="A518" t="str">
            <v>LLUYLLUC</v>
          </cell>
          <cell r="B518">
            <v>0</v>
          </cell>
          <cell r="C518">
            <v>0</v>
          </cell>
        </row>
        <row r="519">
          <cell r="A519" t="str">
            <v>JERILLO</v>
          </cell>
          <cell r="B519">
            <v>0</v>
          </cell>
          <cell r="C519">
            <v>0</v>
          </cell>
        </row>
        <row r="520">
          <cell r="A520" t="str">
            <v>YANTALO</v>
          </cell>
          <cell r="B520">
            <v>0</v>
          </cell>
          <cell r="C520">
            <v>0</v>
          </cell>
        </row>
        <row r="521">
          <cell r="A521" t="str">
            <v>SORITOR</v>
          </cell>
          <cell r="B521">
            <v>0</v>
          </cell>
          <cell r="C521">
            <v>0</v>
          </cell>
        </row>
        <row r="522">
          <cell r="A522" t="str">
            <v>JEPELAC</v>
          </cell>
          <cell r="B522">
            <v>0</v>
          </cell>
          <cell r="C522">
            <v>0</v>
          </cell>
        </row>
        <row r="523">
          <cell r="A523" t="str">
            <v>ROQUE</v>
          </cell>
          <cell r="B523">
            <v>0</v>
          </cell>
          <cell r="C523">
            <v>0</v>
          </cell>
        </row>
        <row r="524">
          <cell r="A524" t="str">
            <v>CALZADA</v>
          </cell>
          <cell r="B524">
            <v>0</v>
          </cell>
          <cell r="C524">
            <v>0</v>
          </cell>
        </row>
        <row r="525">
          <cell r="A525" t="str">
            <v>P. LIBRE</v>
          </cell>
          <cell r="B525">
            <v>0</v>
          </cell>
          <cell r="C525">
            <v>0</v>
          </cell>
        </row>
        <row r="526">
          <cell r="A526" t="str">
            <v>HOSP</v>
          </cell>
          <cell r="B526">
            <v>0</v>
          </cell>
          <cell r="C526">
            <v>0</v>
          </cell>
        </row>
        <row r="537">
          <cell r="B537" t="str">
            <v xml:space="preserve">CNV Total RN </v>
          </cell>
          <cell r="C537" t="str">
            <v>RN Prematuro &lt;37 S.</v>
          </cell>
        </row>
        <row r="538">
          <cell r="A538" t="str">
            <v>RED</v>
          </cell>
          <cell r="B538">
            <v>0</v>
          </cell>
          <cell r="C538">
            <v>0</v>
          </cell>
        </row>
        <row r="539">
          <cell r="A539" t="str">
            <v>LLUYLLUC</v>
          </cell>
          <cell r="B539">
            <v>0</v>
          </cell>
          <cell r="C539">
            <v>0</v>
          </cell>
        </row>
        <row r="540">
          <cell r="A540" t="str">
            <v>JERILLO</v>
          </cell>
          <cell r="B540">
            <v>0</v>
          </cell>
          <cell r="C540">
            <v>0</v>
          </cell>
        </row>
        <row r="541">
          <cell r="A541" t="str">
            <v>YANTALO</v>
          </cell>
          <cell r="B541">
            <v>0</v>
          </cell>
          <cell r="C541">
            <v>0</v>
          </cell>
        </row>
        <row r="542">
          <cell r="A542" t="str">
            <v>SORITOR</v>
          </cell>
          <cell r="B542">
            <v>0</v>
          </cell>
          <cell r="C542">
            <v>0</v>
          </cell>
        </row>
        <row r="543">
          <cell r="A543" t="str">
            <v>JEPELAC</v>
          </cell>
          <cell r="B543">
            <v>0</v>
          </cell>
          <cell r="C543">
            <v>0</v>
          </cell>
        </row>
        <row r="544">
          <cell r="A544" t="str">
            <v>ROQUE</v>
          </cell>
          <cell r="B544">
            <v>0</v>
          </cell>
          <cell r="C544">
            <v>0</v>
          </cell>
        </row>
        <row r="545">
          <cell r="A545" t="str">
            <v>CALZADA</v>
          </cell>
          <cell r="B545">
            <v>0</v>
          </cell>
          <cell r="C545">
            <v>0</v>
          </cell>
        </row>
        <row r="546">
          <cell r="A546" t="str">
            <v>P. LIBRE</v>
          </cell>
          <cell r="B546">
            <v>0</v>
          </cell>
          <cell r="C546">
            <v>0</v>
          </cell>
        </row>
        <row r="547">
          <cell r="A547" t="str">
            <v>HOSP</v>
          </cell>
          <cell r="B547">
            <v>0</v>
          </cell>
          <cell r="C547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50"/>
  <sheetViews>
    <sheetView showGridLines="0" workbookViewId="0">
      <selection activeCell="I24" sqref="I24"/>
    </sheetView>
  </sheetViews>
  <sheetFormatPr baseColWidth="10" defaultColWidth="11.42578125" defaultRowHeight="15" x14ac:dyDescent="0.25"/>
  <cols>
    <col min="1" max="1" width="4.42578125" style="8" customWidth="1"/>
    <col min="2" max="2" width="26.28515625" style="8" customWidth="1"/>
    <col min="3" max="3" width="9.28515625" style="8" customWidth="1"/>
    <col min="4" max="4" width="16.5703125" style="8" customWidth="1"/>
    <col min="5" max="5" width="7.140625" style="8" customWidth="1"/>
    <col min="6" max="6" width="3.42578125" style="8" customWidth="1"/>
    <col min="7" max="7" width="8.140625" style="8" bestFit="1" customWidth="1"/>
    <col min="8" max="8" width="9.85546875" style="8" bestFit="1" customWidth="1"/>
    <col min="9" max="9" width="11.85546875" style="8" bestFit="1" customWidth="1"/>
    <col min="10" max="10" width="1.5703125" style="8" customWidth="1"/>
    <col min="11" max="11" width="6.5703125" style="8" bestFit="1" customWidth="1"/>
    <col min="12" max="12" width="9.85546875" style="8" bestFit="1" customWidth="1"/>
    <col min="13" max="13" width="6.5703125" style="8" bestFit="1" customWidth="1"/>
    <col min="14" max="16" width="11.42578125" style="8"/>
    <col min="17" max="17" width="50.42578125" style="8" customWidth="1"/>
    <col min="18" max="18" width="20.140625" style="8" customWidth="1"/>
    <col min="19" max="16384" width="11.42578125" style="8"/>
  </cols>
  <sheetData>
    <row r="1" spans="1:13" x14ac:dyDescent="0.25">
      <c r="A1" s="19"/>
      <c r="G1" s="223" t="s">
        <v>15</v>
      </c>
      <c r="H1" s="224"/>
      <c r="I1" s="225"/>
      <c r="K1" s="223" t="s">
        <v>16</v>
      </c>
      <c r="L1" s="224"/>
      <c r="M1" s="225"/>
    </row>
    <row r="2" spans="1:13" x14ac:dyDescent="0.25">
      <c r="B2" s="65" t="s">
        <v>55</v>
      </c>
      <c r="G2" s="20" t="s">
        <v>14</v>
      </c>
      <c r="H2" s="21" t="s">
        <v>13</v>
      </c>
      <c r="I2" s="22" t="s">
        <v>12</v>
      </c>
      <c r="K2" s="20" t="s">
        <v>14</v>
      </c>
      <c r="L2" s="21" t="s">
        <v>13</v>
      </c>
      <c r="M2" s="22" t="s">
        <v>12</v>
      </c>
    </row>
    <row r="3" spans="1:13" x14ac:dyDescent="0.25">
      <c r="B3" s="66" t="s">
        <v>100</v>
      </c>
      <c r="G3" s="75">
        <f>+ROUND(C9*K3/100,1)</f>
        <v>37.5</v>
      </c>
      <c r="H3" s="24"/>
      <c r="I3" s="24">
        <f>+ROUND(C9*M3/100,1)</f>
        <v>41.7</v>
      </c>
      <c r="K3" s="24">
        <v>90</v>
      </c>
      <c r="L3" s="24"/>
      <c r="M3" s="24">
        <v>100</v>
      </c>
    </row>
    <row r="4" spans="1:13" x14ac:dyDescent="0.25">
      <c r="B4" s="67" t="s">
        <v>101</v>
      </c>
      <c r="C4" s="25"/>
      <c r="D4" s="25"/>
      <c r="E4" s="25"/>
      <c r="F4" s="26"/>
      <c r="G4" s="8" t="s">
        <v>98</v>
      </c>
      <c r="I4" s="62" t="s">
        <v>99</v>
      </c>
      <c r="K4" s="23" t="s">
        <v>98</v>
      </c>
      <c r="M4" s="8" t="s">
        <v>99</v>
      </c>
    </row>
    <row r="5" spans="1:13" ht="7.5" customHeight="1" x14ac:dyDescent="0.25">
      <c r="B5" s="27"/>
    </row>
    <row r="6" spans="1:13" x14ac:dyDescent="0.25">
      <c r="B6" s="28" t="s">
        <v>56</v>
      </c>
      <c r="C6" s="10">
        <v>5</v>
      </c>
    </row>
    <row r="7" spans="1:13" ht="5.25" customHeight="1" x14ac:dyDescent="0.25">
      <c r="B7" s="27"/>
    </row>
    <row r="8" spans="1:13" x14ac:dyDescent="0.25">
      <c r="B8" s="29" t="s">
        <v>9</v>
      </c>
      <c r="C8" s="30">
        <f>100/12</f>
        <v>8.3333333333333339</v>
      </c>
    </row>
    <row r="9" spans="1:13" x14ac:dyDescent="0.25">
      <c r="B9" s="31" t="s">
        <v>72</v>
      </c>
      <c r="C9" s="30">
        <f>C8*C6</f>
        <v>41.666666666666671</v>
      </c>
      <c r="D9" s="32">
        <v>100</v>
      </c>
    </row>
    <row r="10" spans="1:13" ht="12" customHeight="1" x14ac:dyDescent="0.25"/>
    <row r="11" spans="1:13" x14ac:dyDescent="0.25">
      <c r="C11" s="24" t="s">
        <v>57</v>
      </c>
      <c r="D11" s="24" t="s">
        <v>58</v>
      </c>
      <c r="E11" s="24" t="s">
        <v>59</v>
      </c>
    </row>
    <row r="12" spans="1:13" x14ac:dyDescent="0.25">
      <c r="C12" s="54" t="s">
        <v>7</v>
      </c>
      <c r="D12" s="54" t="str">
        <f>IF(C6=1,"ENERO",IF(C6=2,"FEBRERO",IF(C6=3,"MARZO",IF(C6=4,"ABRIL",IF(C6=5,"MAYO",IF(C6=6,"JUNIO",IF(C6=7,"JULIO",IF(C6=8,"AGOSTO",IF(C6=9,"SETIEMBRE",IF(C6=10,"OCTUBRE",IF(C6=11,"NOVIEMBRE",IF(C6=12,"DICIEMBRE","-"))))))))))))</f>
        <v>MAYO</v>
      </c>
      <c r="E12" s="54">
        <v>2022</v>
      </c>
    </row>
    <row r="14" spans="1:13" x14ac:dyDescent="0.25">
      <c r="B14" s="33" t="s">
        <v>18</v>
      </c>
    </row>
    <row r="15" spans="1:13" x14ac:dyDescent="0.25">
      <c r="A15" s="48">
        <v>0</v>
      </c>
      <c r="B15" s="68" t="s">
        <v>68</v>
      </c>
      <c r="C15" s="8" t="str">
        <f>+_xlfn.CONCAT(A15,"-",B15)</f>
        <v>0-RED</v>
      </c>
      <c r="D15" s="73" t="s">
        <v>54</v>
      </c>
    </row>
    <row r="16" spans="1:13" x14ac:dyDescent="0.25">
      <c r="A16" s="48">
        <v>1</v>
      </c>
      <c r="B16" s="68" t="str">
        <f>+MID(D16,1,4)</f>
        <v>HOSP</v>
      </c>
      <c r="C16" s="8" t="str">
        <f t="shared" ref="C16:C24" si="0">+_xlfn.CONCAT(A16,"-",B16)</f>
        <v>1-HOSP</v>
      </c>
      <c r="D16" s="68" t="s">
        <v>96</v>
      </c>
    </row>
    <row r="17" spans="1:4" x14ac:dyDescent="0.25">
      <c r="A17" s="48">
        <v>2</v>
      </c>
      <c r="B17" s="68" t="str">
        <f t="shared" ref="B17:B24" si="1">+MID(D17,1,4)</f>
        <v>LLUI</v>
      </c>
      <c r="C17" s="8" t="str">
        <f t="shared" si="0"/>
        <v>2-LLUI</v>
      </c>
      <c r="D17" s="68" t="s">
        <v>97</v>
      </c>
    </row>
    <row r="18" spans="1:4" x14ac:dyDescent="0.25">
      <c r="A18" s="48">
        <v>3</v>
      </c>
      <c r="B18" s="68" t="str">
        <f t="shared" si="1"/>
        <v>JERI</v>
      </c>
      <c r="C18" s="8" t="str">
        <f t="shared" si="0"/>
        <v>3-JERI</v>
      </c>
      <c r="D18" s="68" t="s">
        <v>69</v>
      </c>
    </row>
    <row r="19" spans="1:4" x14ac:dyDescent="0.25">
      <c r="A19" s="48">
        <v>4</v>
      </c>
      <c r="B19" s="68" t="str">
        <f t="shared" si="1"/>
        <v>YANT</v>
      </c>
      <c r="C19" s="8" t="str">
        <f t="shared" si="0"/>
        <v>4-YANT</v>
      </c>
      <c r="D19" s="68" t="s">
        <v>64</v>
      </c>
    </row>
    <row r="20" spans="1:4" x14ac:dyDescent="0.25">
      <c r="A20" s="48">
        <v>5</v>
      </c>
      <c r="B20" s="68" t="str">
        <f t="shared" si="1"/>
        <v>SORI</v>
      </c>
      <c r="C20" s="8" t="str">
        <f t="shared" si="0"/>
        <v>5-SORI</v>
      </c>
      <c r="D20" s="68" t="s">
        <v>65</v>
      </c>
    </row>
    <row r="21" spans="1:4" x14ac:dyDescent="0.25">
      <c r="A21" s="48">
        <v>6</v>
      </c>
      <c r="B21" s="68" t="str">
        <f t="shared" si="1"/>
        <v>JEPE</v>
      </c>
      <c r="C21" s="8" t="str">
        <f t="shared" si="0"/>
        <v>6-JEPE</v>
      </c>
      <c r="D21" s="68" t="s">
        <v>63</v>
      </c>
    </row>
    <row r="22" spans="1:4" x14ac:dyDescent="0.25">
      <c r="A22" s="48">
        <v>7</v>
      </c>
      <c r="B22" s="68" t="str">
        <f t="shared" si="1"/>
        <v>ROQU</v>
      </c>
      <c r="C22" s="8" t="str">
        <f t="shared" si="0"/>
        <v>7-ROQU</v>
      </c>
      <c r="D22" s="68" t="s">
        <v>67</v>
      </c>
    </row>
    <row r="23" spans="1:4" x14ac:dyDescent="0.25">
      <c r="A23" s="48">
        <v>8</v>
      </c>
      <c r="B23" s="68" t="str">
        <f t="shared" si="1"/>
        <v>CALZ</v>
      </c>
      <c r="C23" s="8" t="str">
        <f t="shared" si="0"/>
        <v>8-CALZ</v>
      </c>
      <c r="D23" s="68" t="s">
        <v>62</v>
      </c>
    </row>
    <row r="24" spans="1:4" x14ac:dyDescent="0.25">
      <c r="A24" s="48">
        <v>9</v>
      </c>
      <c r="B24" s="68" t="str">
        <f t="shared" si="1"/>
        <v>PUEB</v>
      </c>
      <c r="C24" s="8" t="str">
        <f t="shared" si="0"/>
        <v>9-PUEB</v>
      </c>
      <c r="D24" s="68" t="s">
        <v>73</v>
      </c>
    </row>
    <row r="50" spans="17:18" s="70" customFormat="1" ht="48" customHeight="1" x14ac:dyDescent="0.25">
      <c r="Q50" s="69" t="str">
        <f>CONCATENATE(C12," - ",D12)</f>
        <v>ENERO - MAYO</v>
      </c>
      <c r="R50" s="71">
        <v>2019</v>
      </c>
    </row>
  </sheetData>
  <mergeCells count="2">
    <mergeCell ref="K1:M1"/>
    <mergeCell ref="G1:I1"/>
  </mergeCells>
  <conditionalFormatting sqref="C6">
    <cfRule type="expression" dxfId="32" priority="2">
      <formula>_xludf.MOD(_xludf.ROW(),2)=0</formula>
    </cfRule>
  </conditionalFormatting>
  <conditionalFormatting sqref="B6">
    <cfRule type="expression" dxfId="31" priority="1">
      <formula>_xludf.MOD(_xludf.ROW(),2)=0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5"/>
  <dimension ref="A1:BN177"/>
  <sheetViews>
    <sheetView showGridLines="0" zoomScale="80" zoomScaleNormal="80" workbookViewId="0">
      <pane xSplit="3" ySplit="3" topLeftCell="D4" activePane="bottomRight" state="frozen"/>
      <selection activeCell="AV4" sqref="AV4"/>
      <selection pane="topRight" activeCell="AV4" sqref="AV4"/>
      <selection pane="bottomLeft" activeCell="AV4" sqref="AV4"/>
      <selection pane="bottomRight" activeCell="AV4" sqref="AV4"/>
    </sheetView>
  </sheetViews>
  <sheetFormatPr baseColWidth="10" defaultColWidth="11.42578125" defaultRowHeight="15" x14ac:dyDescent="0.25"/>
  <cols>
    <col min="1" max="1" width="6.42578125" style="7" customWidth="1"/>
    <col min="2" max="2" width="110.42578125" style="2" customWidth="1"/>
    <col min="3" max="3" width="29.85546875" style="6" customWidth="1"/>
    <col min="4" max="4" width="13.42578125" style="6" customWidth="1"/>
    <col min="5" max="5" width="15.140625" style="6" customWidth="1"/>
    <col min="6" max="6" width="10.85546875" style="6" customWidth="1"/>
    <col min="7" max="7" width="13.140625" style="6" customWidth="1"/>
    <col min="8" max="8" width="15.140625" style="6" customWidth="1"/>
    <col min="9" max="9" width="12.42578125" style="6" customWidth="1"/>
    <col min="10" max="10" width="11.42578125" style="6" bestFit="1" customWidth="1"/>
    <col min="11" max="11" width="11.7109375" style="6" customWidth="1"/>
    <col min="12" max="13" width="12.85546875" style="6" customWidth="1"/>
    <col min="14" max="18" width="10.7109375" style="6" customWidth="1"/>
    <col min="19" max="19" width="12.5703125" style="6" customWidth="1"/>
    <col min="20" max="29" width="10.7109375" style="6" customWidth="1"/>
    <col min="30" max="30" width="12.7109375" style="6" customWidth="1"/>
    <col min="31" max="31" width="10.7109375" style="6" customWidth="1"/>
    <col min="32" max="32" width="12.85546875" style="6" customWidth="1"/>
    <col min="33" max="33" width="10.7109375" style="6" customWidth="1"/>
    <col min="34" max="34" width="12.28515625" style="6" customWidth="1"/>
    <col min="35" max="36" width="10.7109375" style="6" customWidth="1"/>
    <col min="37" max="37" width="13" style="6" customWidth="1"/>
    <col min="38" max="38" width="12.140625" style="6" customWidth="1"/>
    <col min="39" max="39" width="10.7109375" style="6" customWidth="1"/>
    <col min="40" max="40" width="14.28515625" style="6" customWidth="1"/>
    <col min="41" max="41" width="13.42578125" style="6" customWidth="1"/>
    <col min="42" max="42" width="12.7109375" style="6" customWidth="1"/>
    <col min="43" max="43" width="2.85546875" style="6" customWidth="1"/>
    <col min="44" max="44" width="15.5703125" style="6" customWidth="1"/>
    <col min="45" max="50" width="10.7109375" style="6" customWidth="1"/>
    <col min="51" max="51" width="13" style="6" customWidth="1"/>
    <col min="52" max="52" width="15.85546875" style="6" customWidth="1"/>
    <col min="53" max="53" width="13.85546875" style="6" customWidth="1"/>
    <col min="54" max="61" width="10.7109375" style="7" customWidth="1"/>
    <col min="62" max="65" width="11.42578125" style="7" customWidth="1"/>
    <col min="66" max="16384" width="11.42578125" style="7"/>
  </cols>
  <sheetData>
    <row r="1" spans="1:66" s="48" customFormat="1" ht="9.75" customHeight="1" x14ac:dyDescent="0.25">
      <c r="B1" s="2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66" ht="27.75" customHeight="1" thickBot="1" x14ac:dyDescent="0.3">
      <c r="B2" s="226" t="str">
        <f>"METAS  " &amp; Config!B15&amp; "  "&amp;Config!E12</f>
        <v>METAS  RED  2022</v>
      </c>
      <c r="C2" s="22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63"/>
      <c r="AN2" s="63"/>
      <c r="AO2" s="63"/>
      <c r="AP2" s="63"/>
      <c r="AR2" s="1"/>
      <c r="AS2" s="1"/>
      <c r="AT2" s="1"/>
      <c r="AU2" s="1"/>
      <c r="AV2" s="1"/>
      <c r="AW2" s="1"/>
      <c r="AX2" s="1"/>
      <c r="AY2" s="1"/>
      <c r="AZ2" s="1"/>
      <c r="BA2" s="1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1:66" s="1" customFormat="1" ht="45.75" customHeight="1" thickBot="1" x14ac:dyDescent="0.3">
      <c r="A3" s="34" t="s">
        <v>6</v>
      </c>
      <c r="B3" s="79" t="s">
        <v>60</v>
      </c>
      <c r="C3" s="79" t="s">
        <v>0</v>
      </c>
      <c r="D3" s="79" t="s">
        <v>85</v>
      </c>
      <c r="E3" s="79" t="s">
        <v>21</v>
      </c>
      <c r="F3" s="79" t="s">
        <v>22</v>
      </c>
      <c r="G3" s="79" t="s">
        <v>23</v>
      </c>
      <c r="H3" s="79" t="s">
        <v>24</v>
      </c>
      <c r="I3" s="79" t="s">
        <v>25</v>
      </c>
      <c r="J3" s="79" t="s">
        <v>26</v>
      </c>
      <c r="K3" s="79" t="s">
        <v>86</v>
      </c>
      <c r="L3" s="79" t="s">
        <v>87</v>
      </c>
      <c r="M3" s="79" t="s">
        <v>74</v>
      </c>
      <c r="N3" s="79" t="s">
        <v>33</v>
      </c>
      <c r="O3" s="79" t="s">
        <v>34</v>
      </c>
      <c r="P3" s="79" t="s">
        <v>35</v>
      </c>
      <c r="Q3" s="79" t="s">
        <v>39</v>
      </c>
      <c r="R3" s="79" t="s">
        <v>40</v>
      </c>
      <c r="S3" s="79" t="s">
        <v>41</v>
      </c>
      <c r="T3" s="79" t="s">
        <v>42</v>
      </c>
      <c r="U3" s="79" t="s">
        <v>43</v>
      </c>
      <c r="V3" s="79" t="s">
        <v>44</v>
      </c>
      <c r="W3" s="79" t="s">
        <v>45</v>
      </c>
      <c r="X3" s="79" t="s">
        <v>88</v>
      </c>
      <c r="Y3" s="79" t="s">
        <v>47</v>
      </c>
      <c r="Z3" s="79" t="s">
        <v>48</v>
      </c>
      <c r="AA3" s="79" t="s">
        <v>49</v>
      </c>
      <c r="AB3" s="79" t="s">
        <v>50</v>
      </c>
      <c r="AC3" s="79" t="s">
        <v>51</v>
      </c>
      <c r="AD3" s="79" t="s">
        <v>89</v>
      </c>
      <c r="AE3" s="79" t="s">
        <v>53</v>
      </c>
      <c r="AF3" s="79" t="s">
        <v>70</v>
      </c>
      <c r="AG3" s="79" t="s">
        <v>90</v>
      </c>
      <c r="AH3" s="79" t="s">
        <v>91</v>
      </c>
      <c r="AI3" s="79" t="s">
        <v>29</v>
      </c>
      <c r="AJ3" s="79" t="s">
        <v>30</v>
      </c>
      <c r="AK3" s="79" t="s">
        <v>92</v>
      </c>
      <c r="AL3" s="79" t="s">
        <v>93</v>
      </c>
      <c r="AM3" s="79" t="s">
        <v>94</v>
      </c>
      <c r="AN3" s="79" t="s">
        <v>4</v>
      </c>
      <c r="AO3" s="79" t="s">
        <v>5</v>
      </c>
      <c r="AP3" s="79" t="s">
        <v>95</v>
      </c>
      <c r="AQ3" s="12"/>
      <c r="AR3" s="9" t="s">
        <v>96</v>
      </c>
      <c r="AS3" s="9" t="s">
        <v>97</v>
      </c>
      <c r="AT3" s="9" t="s">
        <v>69</v>
      </c>
      <c r="AU3" s="9" t="s">
        <v>64</v>
      </c>
      <c r="AV3" s="9" t="s">
        <v>65</v>
      </c>
      <c r="AW3" s="9" t="s">
        <v>63</v>
      </c>
      <c r="AX3" s="9" t="s">
        <v>67</v>
      </c>
      <c r="AY3" s="9" t="s">
        <v>62</v>
      </c>
      <c r="AZ3" s="9" t="s">
        <v>73</v>
      </c>
      <c r="BA3" s="9" t="str">
        <f>Config!B15</f>
        <v>RED</v>
      </c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</row>
    <row r="4" spans="1:66" s="1" customFormat="1" ht="17.25" customHeight="1" x14ac:dyDescent="0.25">
      <c r="A4" s="77">
        <v>1</v>
      </c>
      <c r="B4" s="80" t="s">
        <v>75</v>
      </c>
      <c r="C4" s="213" t="s">
        <v>83</v>
      </c>
      <c r="D4" s="83"/>
      <c r="E4" s="83">
        <v>800</v>
      </c>
      <c r="F4" s="83">
        <v>35</v>
      </c>
      <c r="G4" s="83">
        <v>25</v>
      </c>
      <c r="H4" s="83">
        <v>31</v>
      </c>
      <c r="I4" s="83">
        <v>62</v>
      </c>
      <c r="J4" s="83">
        <v>2</v>
      </c>
      <c r="K4" s="83">
        <v>38</v>
      </c>
      <c r="L4" s="83">
        <v>14</v>
      </c>
      <c r="M4" s="83">
        <v>31</v>
      </c>
      <c r="N4" s="83">
        <v>51</v>
      </c>
      <c r="O4" s="83">
        <v>16</v>
      </c>
      <c r="P4" s="83">
        <v>45</v>
      </c>
      <c r="Q4" s="83">
        <v>72</v>
      </c>
      <c r="R4" s="83">
        <v>24</v>
      </c>
      <c r="S4" s="83">
        <v>15</v>
      </c>
      <c r="T4" s="83">
        <v>32</v>
      </c>
      <c r="U4" s="83">
        <v>72</v>
      </c>
      <c r="V4" s="83">
        <v>345</v>
      </c>
      <c r="W4" s="83">
        <v>31</v>
      </c>
      <c r="X4" s="83">
        <v>70</v>
      </c>
      <c r="Y4" s="83">
        <v>30</v>
      </c>
      <c r="Z4" s="83">
        <v>53</v>
      </c>
      <c r="AA4" s="83">
        <v>105</v>
      </c>
      <c r="AB4" s="83">
        <v>25</v>
      </c>
      <c r="AC4" s="83">
        <v>38</v>
      </c>
      <c r="AD4" s="83">
        <v>30</v>
      </c>
      <c r="AE4" s="83">
        <v>40</v>
      </c>
      <c r="AF4" s="83">
        <v>184</v>
      </c>
      <c r="AG4" s="83">
        <v>28</v>
      </c>
      <c r="AH4" s="83">
        <v>13</v>
      </c>
      <c r="AI4" s="83">
        <v>81</v>
      </c>
      <c r="AJ4" s="83">
        <v>7</v>
      </c>
      <c r="AK4" s="83">
        <v>16</v>
      </c>
      <c r="AL4" s="83">
        <v>8</v>
      </c>
      <c r="AM4" s="83">
        <v>129</v>
      </c>
      <c r="AN4" s="83">
        <v>12</v>
      </c>
      <c r="AO4" s="83">
        <v>20</v>
      </c>
      <c r="AP4" s="83">
        <v>68</v>
      </c>
      <c r="AQ4" s="13"/>
      <c r="AR4" s="14">
        <f>SUM(D4)</f>
        <v>0</v>
      </c>
      <c r="AS4" s="14">
        <f>+SUM(E4:M4)</f>
        <v>1038</v>
      </c>
      <c r="AT4" s="14">
        <f>+SUM(N4:P4)</f>
        <v>112</v>
      </c>
      <c r="AU4" s="14">
        <f>+SUM(Q4:T4)</f>
        <v>143</v>
      </c>
      <c r="AV4" s="15">
        <f>+SUM(U4:Z4)</f>
        <v>601</v>
      </c>
      <c r="AW4" s="14">
        <f>+SUM(AA4:AE4)</f>
        <v>238</v>
      </c>
      <c r="AX4" s="14">
        <f>+SUM(AF4:AH4)</f>
        <v>225</v>
      </c>
      <c r="AY4" s="14">
        <f>+SUM(AI4:AL4)</f>
        <v>112</v>
      </c>
      <c r="AZ4" s="14">
        <f>+SUM(AM4:AP4)</f>
        <v>229</v>
      </c>
      <c r="BA4" s="16">
        <f>SUM(AR4:AZ4)</f>
        <v>2698</v>
      </c>
      <c r="BB4" s="48"/>
      <c r="BC4" s="48"/>
      <c r="BD4" s="48"/>
      <c r="BE4" s="48"/>
      <c r="BF4" s="48"/>
      <c r="BG4" s="48"/>
      <c r="BH4" s="48"/>
      <c r="BI4" s="7"/>
      <c r="BJ4" s="7"/>
      <c r="BK4" s="7"/>
      <c r="BL4" s="7"/>
      <c r="BM4" s="7"/>
      <c r="BN4" s="7"/>
    </row>
    <row r="5" spans="1:66" s="1" customFormat="1" ht="17.25" customHeight="1" x14ac:dyDescent="0.25">
      <c r="A5" s="78">
        <v>2</v>
      </c>
      <c r="B5" s="11" t="s">
        <v>76</v>
      </c>
      <c r="C5" s="213" t="s">
        <v>83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13"/>
      <c r="AR5" s="14">
        <f t="shared" ref="AR5:AR12" si="0">SUM(D5)</f>
        <v>0</v>
      </c>
      <c r="AS5" s="14">
        <f t="shared" ref="AS5:AS12" si="1">+SUM(E5:M5)</f>
        <v>0</v>
      </c>
      <c r="AT5" s="14">
        <f t="shared" ref="AT5:AT12" si="2">+SUM(N5:P5)</f>
        <v>0</v>
      </c>
      <c r="AU5" s="14">
        <f t="shared" ref="AU5:AU12" si="3">+SUM(Q5:T5)</f>
        <v>0</v>
      </c>
      <c r="AV5" s="15">
        <f t="shared" ref="AV5:AV12" si="4">+SUM(U5:Z5)</f>
        <v>0</v>
      </c>
      <c r="AW5" s="14">
        <f t="shared" ref="AW5:AW12" si="5">+SUM(AA5:AE5)</f>
        <v>0</v>
      </c>
      <c r="AX5" s="14">
        <f t="shared" ref="AX5:AX12" si="6">+SUM(AF5:AH5)</f>
        <v>0</v>
      </c>
      <c r="AY5" s="14">
        <f t="shared" ref="AY5:AY12" si="7">+SUM(AI5:AL5)</f>
        <v>0</v>
      </c>
      <c r="AZ5" s="14">
        <f t="shared" ref="AZ5:AZ12" si="8">+SUM(AM5:AP5)</f>
        <v>0</v>
      </c>
      <c r="BA5" s="17">
        <f t="shared" ref="BA5:BA12" si="9">SUM(AR5:AZ5)</f>
        <v>0</v>
      </c>
      <c r="BB5" s="48"/>
      <c r="BC5" s="48"/>
      <c r="BD5" s="48"/>
      <c r="BE5" s="48"/>
      <c r="BF5" s="48"/>
      <c r="BG5" s="48"/>
      <c r="BH5" s="48"/>
      <c r="BI5" s="7"/>
      <c r="BJ5" s="7"/>
      <c r="BK5" s="7"/>
      <c r="BL5" s="7"/>
      <c r="BM5" s="7"/>
      <c r="BN5" s="7"/>
    </row>
    <row r="6" spans="1:66" s="1" customFormat="1" ht="17.25" customHeight="1" x14ac:dyDescent="0.25">
      <c r="A6" s="77">
        <v>3</v>
      </c>
      <c r="B6" s="80" t="s">
        <v>77</v>
      </c>
      <c r="C6" s="213" t="s">
        <v>83</v>
      </c>
      <c r="D6" s="83"/>
      <c r="E6" s="83">
        <v>80</v>
      </c>
      <c r="F6" s="83">
        <v>3.5</v>
      </c>
      <c r="G6" s="83">
        <v>2.5</v>
      </c>
      <c r="H6" s="83">
        <v>3.1</v>
      </c>
      <c r="I6" s="83">
        <v>6.2</v>
      </c>
      <c r="J6" s="83">
        <v>0.2</v>
      </c>
      <c r="K6" s="83">
        <v>3.8</v>
      </c>
      <c r="L6" s="83">
        <v>1.4</v>
      </c>
      <c r="M6" s="83">
        <v>3.1</v>
      </c>
      <c r="N6" s="83">
        <v>5.0999999999999996</v>
      </c>
      <c r="O6" s="83">
        <v>1.6</v>
      </c>
      <c r="P6" s="83">
        <v>4.5</v>
      </c>
      <c r="Q6" s="83">
        <v>7.2</v>
      </c>
      <c r="R6" s="83">
        <v>2.4</v>
      </c>
      <c r="S6" s="83">
        <v>1.5</v>
      </c>
      <c r="T6" s="83">
        <v>3.2</v>
      </c>
      <c r="U6" s="83">
        <v>7.2</v>
      </c>
      <c r="V6" s="83">
        <v>34.5</v>
      </c>
      <c r="W6" s="83">
        <v>3.1</v>
      </c>
      <c r="X6" s="83">
        <v>7</v>
      </c>
      <c r="Y6" s="83">
        <v>3</v>
      </c>
      <c r="Z6" s="83">
        <v>5.3</v>
      </c>
      <c r="AA6" s="83">
        <v>10.5</v>
      </c>
      <c r="AB6" s="83">
        <v>2.5</v>
      </c>
      <c r="AC6" s="83">
        <v>3.8</v>
      </c>
      <c r="AD6" s="83">
        <v>3</v>
      </c>
      <c r="AE6" s="83">
        <v>4</v>
      </c>
      <c r="AF6" s="83">
        <v>18.399999999999999</v>
      </c>
      <c r="AG6" s="83">
        <v>2.8</v>
      </c>
      <c r="AH6" s="83">
        <v>1.3</v>
      </c>
      <c r="AI6" s="83">
        <v>8.1</v>
      </c>
      <c r="AJ6" s="83">
        <v>0.7</v>
      </c>
      <c r="AK6" s="83">
        <v>1.6</v>
      </c>
      <c r="AL6" s="83">
        <v>0.8</v>
      </c>
      <c r="AM6" s="83">
        <v>12.9</v>
      </c>
      <c r="AN6" s="83">
        <v>1.2</v>
      </c>
      <c r="AO6" s="83">
        <v>2</v>
      </c>
      <c r="AP6" s="83">
        <v>6.8</v>
      </c>
      <c r="AQ6" s="13"/>
      <c r="AR6" s="14">
        <f t="shared" si="0"/>
        <v>0</v>
      </c>
      <c r="AS6" s="14">
        <f t="shared" si="1"/>
        <v>103.8</v>
      </c>
      <c r="AT6" s="14">
        <f t="shared" si="2"/>
        <v>11.2</v>
      </c>
      <c r="AU6" s="14">
        <f t="shared" si="3"/>
        <v>14.3</v>
      </c>
      <c r="AV6" s="15">
        <f t="shared" si="4"/>
        <v>60.1</v>
      </c>
      <c r="AW6" s="14">
        <f t="shared" si="5"/>
        <v>23.8</v>
      </c>
      <c r="AX6" s="14">
        <f t="shared" si="6"/>
        <v>22.5</v>
      </c>
      <c r="AY6" s="14">
        <f t="shared" si="7"/>
        <v>11.2</v>
      </c>
      <c r="AZ6" s="14">
        <f t="shared" si="8"/>
        <v>22.900000000000002</v>
      </c>
      <c r="BA6" s="16">
        <f t="shared" si="9"/>
        <v>269.8</v>
      </c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</row>
    <row r="7" spans="1:66" s="1" customFormat="1" ht="17.25" customHeight="1" x14ac:dyDescent="0.25">
      <c r="A7" s="77">
        <v>4</v>
      </c>
      <c r="B7" s="11" t="s">
        <v>78</v>
      </c>
      <c r="C7" s="213" t="s">
        <v>83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13"/>
      <c r="AR7" s="14">
        <f t="shared" si="0"/>
        <v>0</v>
      </c>
      <c r="AS7" s="14">
        <f t="shared" si="1"/>
        <v>0</v>
      </c>
      <c r="AT7" s="14">
        <f t="shared" si="2"/>
        <v>0</v>
      </c>
      <c r="AU7" s="14">
        <f t="shared" si="3"/>
        <v>0</v>
      </c>
      <c r="AV7" s="15">
        <f t="shared" si="4"/>
        <v>0</v>
      </c>
      <c r="AW7" s="14">
        <f t="shared" si="5"/>
        <v>0</v>
      </c>
      <c r="AX7" s="14">
        <f t="shared" si="6"/>
        <v>0</v>
      </c>
      <c r="AY7" s="14">
        <f t="shared" si="7"/>
        <v>0</v>
      </c>
      <c r="AZ7" s="14">
        <f t="shared" si="8"/>
        <v>0</v>
      </c>
      <c r="BA7" s="17">
        <f t="shared" si="9"/>
        <v>0</v>
      </c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</row>
    <row r="8" spans="1:66" s="1" customFormat="1" ht="17.25" customHeight="1" x14ac:dyDescent="0.25">
      <c r="A8" s="78">
        <v>5</v>
      </c>
      <c r="B8" s="80" t="s">
        <v>79</v>
      </c>
      <c r="C8" s="213" t="s">
        <v>83</v>
      </c>
      <c r="D8" s="83"/>
      <c r="E8" s="83">
        <v>680</v>
      </c>
      <c r="F8" s="83">
        <v>29.75</v>
      </c>
      <c r="G8" s="83">
        <v>21.25</v>
      </c>
      <c r="H8" s="83">
        <v>26.35</v>
      </c>
      <c r="I8" s="83">
        <v>52.7</v>
      </c>
      <c r="J8" s="83">
        <v>1.7</v>
      </c>
      <c r="K8" s="83">
        <v>32.299999999999997</v>
      </c>
      <c r="L8" s="83">
        <v>11.9</v>
      </c>
      <c r="M8" s="83">
        <v>26.35</v>
      </c>
      <c r="N8" s="83">
        <v>43.35</v>
      </c>
      <c r="O8" s="83">
        <v>13.6</v>
      </c>
      <c r="P8" s="83">
        <v>38.25</v>
      </c>
      <c r="Q8" s="83">
        <v>61.2</v>
      </c>
      <c r="R8" s="83">
        <v>20.399999999999999</v>
      </c>
      <c r="S8" s="83">
        <v>12.75</v>
      </c>
      <c r="T8" s="83">
        <v>27.2</v>
      </c>
      <c r="U8" s="83">
        <v>61.2</v>
      </c>
      <c r="V8" s="83">
        <v>293.25</v>
      </c>
      <c r="W8" s="83">
        <v>26.35</v>
      </c>
      <c r="X8" s="83">
        <v>59.5</v>
      </c>
      <c r="Y8" s="83">
        <v>25.5</v>
      </c>
      <c r="Z8" s="83">
        <v>45.05</v>
      </c>
      <c r="AA8" s="83">
        <v>89.25</v>
      </c>
      <c r="AB8" s="83">
        <v>21.25</v>
      </c>
      <c r="AC8" s="83">
        <v>32.299999999999997</v>
      </c>
      <c r="AD8" s="83">
        <v>25.5</v>
      </c>
      <c r="AE8" s="83">
        <v>34</v>
      </c>
      <c r="AF8" s="83">
        <v>156.4</v>
      </c>
      <c r="AG8" s="83">
        <v>23.8</v>
      </c>
      <c r="AH8" s="83">
        <v>11.05</v>
      </c>
      <c r="AI8" s="83">
        <v>68.849999999999994</v>
      </c>
      <c r="AJ8" s="83">
        <v>5.95</v>
      </c>
      <c r="AK8" s="83">
        <v>13.6</v>
      </c>
      <c r="AL8" s="83">
        <v>6.8</v>
      </c>
      <c r="AM8" s="83">
        <v>109.65</v>
      </c>
      <c r="AN8" s="83">
        <v>10.199999999999999</v>
      </c>
      <c r="AO8" s="83">
        <v>17</v>
      </c>
      <c r="AP8" s="83">
        <v>57.8</v>
      </c>
      <c r="AQ8" s="13"/>
      <c r="AR8" s="14">
        <f t="shared" si="0"/>
        <v>0</v>
      </c>
      <c r="AS8" s="14">
        <f t="shared" si="1"/>
        <v>882.30000000000007</v>
      </c>
      <c r="AT8" s="14">
        <f t="shared" si="2"/>
        <v>95.2</v>
      </c>
      <c r="AU8" s="14">
        <f t="shared" si="3"/>
        <v>121.55</v>
      </c>
      <c r="AV8" s="15">
        <f t="shared" si="4"/>
        <v>510.85</v>
      </c>
      <c r="AW8" s="14">
        <f t="shared" si="5"/>
        <v>202.3</v>
      </c>
      <c r="AX8" s="14">
        <f t="shared" si="6"/>
        <v>191.25000000000003</v>
      </c>
      <c r="AY8" s="14">
        <f t="shared" si="7"/>
        <v>95.199999999999989</v>
      </c>
      <c r="AZ8" s="14">
        <f t="shared" si="8"/>
        <v>194.65000000000003</v>
      </c>
      <c r="BA8" s="16">
        <f t="shared" si="9"/>
        <v>2293.3000000000002</v>
      </c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</row>
    <row r="9" spans="1:66" s="1" customFormat="1" ht="17.25" customHeight="1" x14ac:dyDescent="0.25">
      <c r="A9" s="77">
        <v>6</v>
      </c>
      <c r="B9" s="11" t="s">
        <v>80</v>
      </c>
      <c r="C9" s="213" t="s">
        <v>83</v>
      </c>
      <c r="D9" s="84"/>
      <c r="E9" s="84">
        <v>680</v>
      </c>
      <c r="F9" s="85">
        <v>29.75</v>
      </c>
      <c r="G9" s="84">
        <v>21.25</v>
      </c>
      <c r="H9" s="84">
        <v>26.35</v>
      </c>
      <c r="I9" s="84">
        <v>52.7</v>
      </c>
      <c r="J9" s="84">
        <v>1.7</v>
      </c>
      <c r="K9" s="84">
        <v>32.299999999999997</v>
      </c>
      <c r="L9" s="84">
        <v>11.9</v>
      </c>
      <c r="M9" s="84">
        <v>26.35</v>
      </c>
      <c r="N9" s="84">
        <v>43.35</v>
      </c>
      <c r="O9" s="84">
        <v>13.6</v>
      </c>
      <c r="P9" s="84">
        <v>38.25</v>
      </c>
      <c r="Q9" s="84">
        <v>61.2</v>
      </c>
      <c r="R9" s="84">
        <v>20.399999999999999</v>
      </c>
      <c r="S9" s="84">
        <v>12.75</v>
      </c>
      <c r="T9" s="84">
        <v>27.2</v>
      </c>
      <c r="U9" s="84">
        <v>61.2</v>
      </c>
      <c r="V9" s="84">
        <v>293.25</v>
      </c>
      <c r="W9" s="84">
        <v>26.35</v>
      </c>
      <c r="X9" s="84">
        <v>59.5</v>
      </c>
      <c r="Y9" s="84">
        <v>25.5</v>
      </c>
      <c r="Z9" s="84">
        <v>45.05</v>
      </c>
      <c r="AA9" s="84">
        <v>89.25</v>
      </c>
      <c r="AB9" s="84">
        <v>21.25</v>
      </c>
      <c r="AC9" s="84">
        <v>32.299999999999997</v>
      </c>
      <c r="AD9" s="84">
        <v>25.5</v>
      </c>
      <c r="AE9" s="84">
        <v>34</v>
      </c>
      <c r="AF9" s="84">
        <v>156.4</v>
      </c>
      <c r="AG9" s="84">
        <v>23.8</v>
      </c>
      <c r="AH9" s="84">
        <v>11.05</v>
      </c>
      <c r="AI9" s="84">
        <v>68.849999999999994</v>
      </c>
      <c r="AJ9" s="84">
        <v>5.95</v>
      </c>
      <c r="AK9" s="84">
        <v>13.6</v>
      </c>
      <c r="AL9" s="84">
        <v>6.8</v>
      </c>
      <c r="AM9" s="84">
        <v>109.65</v>
      </c>
      <c r="AN9" s="84">
        <v>10.199999999999999</v>
      </c>
      <c r="AO9" s="84">
        <v>17</v>
      </c>
      <c r="AP9" s="84">
        <v>57.8</v>
      </c>
      <c r="AQ9" s="13"/>
      <c r="AR9" s="14">
        <f t="shared" si="0"/>
        <v>0</v>
      </c>
      <c r="AS9" s="14">
        <f t="shared" si="1"/>
        <v>882.30000000000007</v>
      </c>
      <c r="AT9" s="14">
        <f t="shared" si="2"/>
        <v>95.2</v>
      </c>
      <c r="AU9" s="14">
        <f t="shared" si="3"/>
        <v>121.55</v>
      </c>
      <c r="AV9" s="15">
        <f t="shared" si="4"/>
        <v>510.85</v>
      </c>
      <c r="AW9" s="14">
        <f t="shared" si="5"/>
        <v>202.3</v>
      </c>
      <c r="AX9" s="14">
        <f t="shared" si="6"/>
        <v>191.25000000000003</v>
      </c>
      <c r="AY9" s="14">
        <f t="shared" si="7"/>
        <v>95.199999999999989</v>
      </c>
      <c r="AZ9" s="14">
        <f t="shared" si="8"/>
        <v>194.65000000000003</v>
      </c>
      <c r="BA9" s="17">
        <f t="shared" si="9"/>
        <v>2293.3000000000002</v>
      </c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</row>
    <row r="10" spans="1:66" s="1" customFormat="1" ht="17.25" customHeight="1" x14ac:dyDescent="0.25">
      <c r="A10" s="77">
        <v>7</v>
      </c>
      <c r="B10" s="80" t="s">
        <v>287</v>
      </c>
      <c r="C10" s="213" t="s">
        <v>83</v>
      </c>
      <c r="D10" s="83"/>
      <c r="E10" s="83">
        <v>800</v>
      </c>
      <c r="F10" s="83"/>
      <c r="G10" s="83"/>
      <c r="H10" s="83"/>
      <c r="I10" s="83"/>
      <c r="J10" s="83"/>
      <c r="K10" s="83"/>
      <c r="L10" s="83"/>
      <c r="M10" s="83"/>
      <c r="N10" s="83">
        <v>51</v>
      </c>
      <c r="O10" s="83"/>
      <c r="P10" s="83">
        <v>45</v>
      </c>
      <c r="Q10" s="83">
        <v>72</v>
      </c>
      <c r="R10" s="83"/>
      <c r="S10" s="83"/>
      <c r="T10" s="83"/>
      <c r="U10" s="83"/>
      <c r="V10" s="83">
        <v>345</v>
      </c>
      <c r="W10" s="83"/>
      <c r="X10" s="83"/>
      <c r="Y10" s="83"/>
      <c r="Z10" s="83"/>
      <c r="AA10" s="83">
        <v>105</v>
      </c>
      <c r="AB10" s="83"/>
      <c r="AC10" s="83"/>
      <c r="AD10" s="83"/>
      <c r="AE10" s="83"/>
      <c r="AF10" s="83">
        <v>184</v>
      </c>
      <c r="AG10" s="83"/>
      <c r="AH10" s="83"/>
      <c r="AI10" s="83">
        <v>81</v>
      </c>
      <c r="AJ10" s="83"/>
      <c r="AK10" s="83"/>
      <c r="AL10" s="83"/>
      <c r="AM10" s="83">
        <v>129</v>
      </c>
      <c r="AN10" s="83"/>
      <c r="AO10" s="83"/>
      <c r="AP10" s="83"/>
      <c r="AQ10" s="13"/>
      <c r="AR10" s="14">
        <f t="shared" si="0"/>
        <v>0</v>
      </c>
      <c r="AS10" s="14">
        <f t="shared" si="1"/>
        <v>800</v>
      </c>
      <c r="AT10" s="14">
        <f t="shared" si="2"/>
        <v>96</v>
      </c>
      <c r="AU10" s="14">
        <f t="shared" si="3"/>
        <v>72</v>
      </c>
      <c r="AV10" s="15">
        <f t="shared" si="4"/>
        <v>345</v>
      </c>
      <c r="AW10" s="14">
        <f t="shared" si="5"/>
        <v>105</v>
      </c>
      <c r="AX10" s="14">
        <f t="shared" si="6"/>
        <v>184</v>
      </c>
      <c r="AY10" s="14">
        <f t="shared" si="7"/>
        <v>81</v>
      </c>
      <c r="AZ10" s="14">
        <f t="shared" si="8"/>
        <v>129</v>
      </c>
      <c r="BA10" s="16">
        <f t="shared" si="9"/>
        <v>1812</v>
      </c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</row>
    <row r="11" spans="1:66" s="1" customFormat="1" ht="17.25" customHeight="1" x14ac:dyDescent="0.25">
      <c r="A11" s="78">
        <v>8</v>
      </c>
      <c r="B11" s="11" t="s">
        <v>81</v>
      </c>
      <c r="C11" s="213" t="s">
        <v>83</v>
      </c>
      <c r="D11" s="84"/>
      <c r="E11" s="84">
        <v>680</v>
      </c>
      <c r="F11" s="84">
        <v>29.75</v>
      </c>
      <c r="G11" s="84">
        <v>21.25</v>
      </c>
      <c r="H11" s="84">
        <v>26.35</v>
      </c>
      <c r="I11" s="84">
        <v>52.7</v>
      </c>
      <c r="J11" s="84">
        <v>1.7</v>
      </c>
      <c r="K11" s="84">
        <v>32.299999999999997</v>
      </c>
      <c r="L11" s="84">
        <v>11.9</v>
      </c>
      <c r="M11" s="84">
        <v>26.35</v>
      </c>
      <c r="N11" s="84">
        <v>43.35</v>
      </c>
      <c r="O11" s="84">
        <v>13.6</v>
      </c>
      <c r="P11" s="84">
        <v>38.25</v>
      </c>
      <c r="Q11" s="84">
        <v>61.2</v>
      </c>
      <c r="R11" s="84">
        <v>20.399999999999999</v>
      </c>
      <c r="S11" s="84">
        <v>12.75</v>
      </c>
      <c r="T11" s="84">
        <v>27.2</v>
      </c>
      <c r="U11" s="84">
        <v>61.2</v>
      </c>
      <c r="V11" s="84">
        <v>293.25</v>
      </c>
      <c r="W11" s="84">
        <v>26.35</v>
      </c>
      <c r="X11" s="84">
        <v>59.5</v>
      </c>
      <c r="Y11" s="84">
        <v>25.5</v>
      </c>
      <c r="Z11" s="84">
        <v>45.05</v>
      </c>
      <c r="AA11" s="84">
        <v>89.25</v>
      </c>
      <c r="AB11" s="84">
        <v>21.25</v>
      </c>
      <c r="AC11" s="84">
        <v>32.299999999999997</v>
      </c>
      <c r="AD11" s="84">
        <v>25.5</v>
      </c>
      <c r="AE11" s="84">
        <v>34</v>
      </c>
      <c r="AF11" s="84">
        <v>156.4</v>
      </c>
      <c r="AG11" s="84">
        <v>23.8</v>
      </c>
      <c r="AH11" s="84">
        <v>11.05</v>
      </c>
      <c r="AI11" s="84">
        <v>68.849999999999994</v>
      </c>
      <c r="AJ11" s="84">
        <v>5.95</v>
      </c>
      <c r="AK11" s="84">
        <v>13.6</v>
      </c>
      <c r="AL11" s="84">
        <v>6.8</v>
      </c>
      <c r="AM11" s="84">
        <v>109.65</v>
      </c>
      <c r="AN11" s="84">
        <v>10.199999999999999</v>
      </c>
      <c r="AO11" s="84">
        <v>17</v>
      </c>
      <c r="AP11" s="84">
        <v>57.8</v>
      </c>
      <c r="AQ11" s="13"/>
      <c r="AR11" s="14">
        <f t="shared" si="0"/>
        <v>0</v>
      </c>
      <c r="AS11" s="14">
        <f t="shared" si="1"/>
        <v>882.30000000000007</v>
      </c>
      <c r="AT11" s="14">
        <f t="shared" si="2"/>
        <v>95.2</v>
      </c>
      <c r="AU11" s="14">
        <f t="shared" si="3"/>
        <v>121.55</v>
      </c>
      <c r="AV11" s="15">
        <f t="shared" si="4"/>
        <v>510.85</v>
      </c>
      <c r="AW11" s="14">
        <f t="shared" si="5"/>
        <v>202.3</v>
      </c>
      <c r="AX11" s="14">
        <f t="shared" si="6"/>
        <v>191.25000000000003</v>
      </c>
      <c r="AY11" s="14">
        <f t="shared" si="7"/>
        <v>95.199999999999989</v>
      </c>
      <c r="AZ11" s="14">
        <f t="shared" si="8"/>
        <v>194.65000000000003</v>
      </c>
      <c r="BA11" s="17">
        <f t="shared" si="9"/>
        <v>2293.3000000000002</v>
      </c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</row>
    <row r="12" spans="1:66" s="1" customFormat="1" ht="17.25" customHeight="1" x14ac:dyDescent="0.25">
      <c r="A12" s="77">
        <v>9</v>
      </c>
      <c r="B12" s="80" t="s">
        <v>82</v>
      </c>
      <c r="C12" s="213" t="s">
        <v>84</v>
      </c>
      <c r="D12" s="83"/>
      <c r="E12" s="83">
        <v>3166</v>
      </c>
      <c r="F12" s="83">
        <v>176</v>
      </c>
      <c r="G12" s="83">
        <v>129</v>
      </c>
      <c r="H12" s="83">
        <v>127</v>
      </c>
      <c r="I12" s="83">
        <v>236</v>
      </c>
      <c r="J12" s="83">
        <v>29</v>
      </c>
      <c r="K12" s="83">
        <v>114</v>
      </c>
      <c r="L12" s="83">
        <v>75</v>
      </c>
      <c r="M12" s="83">
        <v>111</v>
      </c>
      <c r="N12" s="83">
        <v>157</v>
      </c>
      <c r="O12" s="83">
        <v>86</v>
      </c>
      <c r="P12" s="83">
        <v>140</v>
      </c>
      <c r="Q12" s="83">
        <v>208</v>
      </c>
      <c r="R12" s="83">
        <v>222</v>
      </c>
      <c r="S12" s="83">
        <v>78</v>
      </c>
      <c r="T12" s="83">
        <v>203</v>
      </c>
      <c r="U12" s="83">
        <v>103</v>
      </c>
      <c r="V12" s="83">
        <v>1042</v>
      </c>
      <c r="W12" s="83">
        <v>137</v>
      </c>
      <c r="X12" s="83">
        <v>138</v>
      </c>
      <c r="Y12" s="83">
        <v>113</v>
      </c>
      <c r="Z12" s="83">
        <v>287</v>
      </c>
      <c r="AA12" s="83">
        <v>361</v>
      </c>
      <c r="AB12" s="83">
        <v>72</v>
      </c>
      <c r="AC12" s="83">
        <v>123</v>
      </c>
      <c r="AD12" s="83">
        <v>96</v>
      </c>
      <c r="AE12" s="83">
        <v>92</v>
      </c>
      <c r="AF12" s="83">
        <v>496</v>
      </c>
      <c r="AG12" s="83">
        <v>72</v>
      </c>
      <c r="AH12" s="83">
        <v>102</v>
      </c>
      <c r="AI12" s="83">
        <v>276</v>
      </c>
      <c r="AJ12" s="83">
        <v>36</v>
      </c>
      <c r="AK12" s="83">
        <v>124</v>
      </c>
      <c r="AL12" s="83">
        <v>47</v>
      </c>
      <c r="AM12" s="83">
        <v>377</v>
      </c>
      <c r="AN12" s="83">
        <v>65</v>
      </c>
      <c r="AO12" s="83">
        <v>70</v>
      </c>
      <c r="AP12" s="83">
        <v>150</v>
      </c>
      <c r="AQ12" s="13"/>
      <c r="AR12" s="14">
        <f t="shared" si="0"/>
        <v>0</v>
      </c>
      <c r="AS12" s="14">
        <f t="shared" si="1"/>
        <v>4163</v>
      </c>
      <c r="AT12" s="14">
        <f t="shared" si="2"/>
        <v>383</v>
      </c>
      <c r="AU12" s="14">
        <f t="shared" si="3"/>
        <v>711</v>
      </c>
      <c r="AV12" s="15">
        <f t="shared" si="4"/>
        <v>1820</v>
      </c>
      <c r="AW12" s="14">
        <f t="shared" si="5"/>
        <v>744</v>
      </c>
      <c r="AX12" s="14">
        <f t="shared" si="6"/>
        <v>670</v>
      </c>
      <c r="AY12" s="14">
        <f t="shared" si="7"/>
        <v>483</v>
      </c>
      <c r="AZ12" s="14">
        <f t="shared" si="8"/>
        <v>662</v>
      </c>
      <c r="BA12" s="16">
        <f t="shared" si="9"/>
        <v>9636</v>
      </c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</row>
    <row r="13" spans="1:66" ht="17.25" customHeight="1" x14ac:dyDescent="0.25">
      <c r="A13" s="77">
        <v>10</v>
      </c>
      <c r="B13" s="80" t="s">
        <v>103</v>
      </c>
      <c r="C13" s="213" t="s">
        <v>8</v>
      </c>
      <c r="D13" s="86"/>
      <c r="E13" s="86">
        <v>681</v>
      </c>
      <c r="F13" s="86">
        <v>38</v>
      </c>
      <c r="G13" s="86">
        <v>20</v>
      </c>
      <c r="H13" s="86">
        <v>27</v>
      </c>
      <c r="I13" s="86">
        <v>51</v>
      </c>
      <c r="J13" s="86">
        <v>8</v>
      </c>
      <c r="K13" s="86">
        <v>20</v>
      </c>
      <c r="L13" s="86">
        <v>16</v>
      </c>
      <c r="M13" s="86">
        <v>20</v>
      </c>
      <c r="N13" s="86">
        <v>110</v>
      </c>
      <c r="O13" s="86">
        <v>23</v>
      </c>
      <c r="P13" s="86">
        <v>37</v>
      </c>
      <c r="Q13" s="86">
        <v>189</v>
      </c>
      <c r="R13" s="86">
        <v>30</v>
      </c>
      <c r="S13" s="86">
        <v>17</v>
      </c>
      <c r="T13" s="86">
        <v>35</v>
      </c>
      <c r="U13" s="86">
        <v>68</v>
      </c>
      <c r="V13" s="86">
        <v>721</v>
      </c>
      <c r="W13" s="86">
        <v>95</v>
      </c>
      <c r="X13" s="86">
        <v>95</v>
      </c>
      <c r="Y13" s="86">
        <v>95</v>
      </c>
      <c r="Z13" s="86">
        <v>180</v>
      </c>
      <c r="AA13" s="86">
        <v>120</v>
      </c>
      <c r="AB13" s="86">
        <v>19</v>
      </c>
      <c r="AC13" s="86">
        <v>32</v>
      </c>
      <c r="AD13" s="86">
        <v>25</v>
      </c>
      <c r="AE13" s="86">
        <v>24</v>
      </c>
      <c r="AF13" s="86">
        <v>155</v>
      </c>
      <c r="AG13" s="86">
        <v>20</v>
      </c>
      <c r="AH13" s="86">
        <v>20</v>
      </c>
      <c r="AI13" s="86">
        <v>128</v>
      </c>
      <c r="AJ13" s="86">
        <v>9</v>
      </c>
      <c r="AK13" s="86">
        <v>20</v>
      </c>
      <c r="AL13" s="86">
        <v>22</v>
      </c>
      <c r="AM13" s="86">
        <v>81</v>
      </c>
      <c r="AN13" s="86">
        <v>5</v>
      </c>
      <c r="AO13" s="86">
        <v>15</v>
      </c>
      <c r="AP13" s="86">
        <v>20</v>
      </c>
      <c r="AR13" s="14">
        <f t="shared" ref="AR13:AR27" si="10">SUM(D13)</f>
        <v>0</v>
      </c>
      <c r="AS13" s="14">
        <f t="shared" ref="AS13:AS27" si="11">+SUM(E13:M13)</f>
        <v>881</v>
      </c>
      <c r="AT13" s="14">
        <f t="shared" ref="AT13:AT27" si="12">+SUM(N13:P13)</f>
        <v>170</v>
      </c>
      <c r="AU13" s="14">
        <f t="shared" ref="AU13:AU27" si="13">+SUM(Q13:T13)</f>
        <v>271</v>
      </c>
      <c r="AV13" s="15">
        <f t="shared" ref="AV13:AV27" si="14">+SUM(U13:Z13)</f>
        <v>1254</v>
      </c>
      <c r="AW13" s="14">
        <f t="shared" ref="AW13:AW27" si="15">+SUM(AA13:AE13)</f>
        <v>220</v>
      </c>
      <c r="AX13" s="14">
        <f t="shared" ref="AX13:AX27" si="16">+SUM(AF13:AH13)</f>
        <v>195</v>
      </c>
      <c r="AY13" s="14">
        <f t="shared" ref="AY13:AY27" si="17">+SUM(AI13:AL13)</f>
        <v>179</v>
      </c>
      <c r="AZ13" s="14">
        <f t="shared" ref="AZ13:AZ27" si="18">+SUM(AM13:AP13)</f>
        <v>121</v>
      </c>
      <c r="BA13" s="16">
        <f t="shared" ref="BA13:BA27" si="19">SUM(AR13:AZ13)</f>
        <v>3291</v>
      </c>
    </row>
    <row r="14" spans="1:66" ht="17.25" customHeight="1" x14ac:dyDescent="0.25">
      <c r="A14" s="78">
        <v>11</v>
      </c>
      <c r="B14" s="80" t="s">
        <v>104</v>
      </c>
      <c r="C14" s="213" t="s">
        <v>8</v>
      </c>
      <c r="D14" s="86"/>
      <c r="E14" s="86">
        <v>350</v>
      </c>
      <c r="F14" s="86">
        <v>19</v>
      </c>
      <c r="G14" s="86">
        <v>14</v>
      </c>
      <c r="H14" s="86">
        <v>13</v>
      </c>
      <c r="I14" s="86">
        <v>25</v>
      </c>
      <c r="J14" s="86">
        <v>4</v>
      </c>
      <c r="K14" s="86">
        <v>12</v>
      </c>
      <c r="L14" s="86">
        <v>8</v>
      </c>
      <c r="M14" s="86">
        <v>12</v>
      </c>
      <c r="N14" s="86">
        <v>75</v>
      </c>
      <c r="O14" s="86">
        <v>11</v>
      </c>
      <c r="P14" s="86">
        <v>18</v>
      </c>
      <c r="Q14" s="86">
        <v>111</v>
      </c>
      <c r="R14" s="86">
        <v>23</v>
      </c>
      <c r="S14" s="86">
        <v>8</v>
      </c>
      <c r="T14" s="86">
        <v>21</v>
      </c>
      <c r="U14" s="86">
        <v>36</v>
      </c>
      <c r="V14" s="86">
        <v>450</v>
      </c>
      <c r="W14" s="86">
        <v>95</v>
      </c>
      <c r="X14" s="86">
        <v>90</v>
      </c>
      <c r="Y14" s="86">
        <v>75</v>
      </c>
      <c r="Z14" s="86">
        <v>165</v>
      </c>
      <c r="AA14" s="86">
        <v>80</v>
      </c>
      <c r="AB14" s="86">
        <v>9</v>
      </c>
      <c r="AC14" s="86">
        <v>16</v>
      </c>
      <c r="AD14" s="86">
        <v>12</v>
      </c>
      <c r="AE14" s="86">
        <v>12</v>
      </c>
      <c r="AF14" s="86">
        <v>81</v>
      </c>
      <c r="AG14" s="86">
        <v>12</v>
      </c>
      <c r="AH14" s="86">
        <v>17</v>
      </c>
      <c r="AI14" s="86">
        <v>61</v>
      </c>
      <c r="AJ14" s="86">
        <v>5</v>
      </c>
      <c r="AK14" s="86">
        <v>13</v>
      </c>
      <c r="AL14" s="86">
        <v>10</v>
      </c>
      <c r="AM14" s="86">
        <v>40</v>
      </c>
      <c r="AN14" s="86">
        <v>5</v>
      </c>
      <c r="AO14" s="86">
        <v>7</v>
      </c>
      <c r="AP14" s="86">
        <v>16</v>
      </c>
      <c r="AR14" s="14">
        <f t="shared" si="10"/>
        <v>0</v>
      </c>
      <c r="AS14" s="14">
        <f t="shared" si="11"/>
        <v>457</v>
      </c>
      <c r="AT14" s="14">
        <f t="shared" si="12"/>
        <v>104</v>
      </c>
      <c r="AU14" s="14">
        <f t="shared" si="13"/>
        <v>163</v>
      </c>
      <c r="AV14" s="15">
        <f t="shared" si="14"/>
        <v>911</v>
      </c>
      <c r="AW14" s="14">
        <f t="shared" si="15"/>
        <v>129</v>
      </c>
      <c r="AX14" s="14">
        <f t="shared" si="16"/>
        <v>110</v>
      </c>
      <c r="AY14" s="14">
        <f t="shared" si="17"/>
        <v>89</v>
      </c>
      <c r="AZ14" s="14">
        <f t="shared" si="18"/>
        <v>68</v>
      </c>
      <c r="BA14" s="16">
        <f t="shared" si="19"/>
        <v>2031</v>
      </c>
    </row>
    <row r="15" spans="1:66" ht="17.25" customHeight="1" x14ac:dyDescent="0.25">
      <c r="A15" s="77">
        <v>12</v>
      </c>
      <c r="B15" s="80" t="s">
        <v>105</v>
      </c>
      <c r="C15" s="213" t="s">
        <v>8</v>
      </c>
      <c r="D15" s="86"/>
      <c r="E15" s="86">
        <v>446</v>
      </c>
      <c r="F15" s="86">
        <v>25</v>
      </c>
      <c r="G15" s="86">
        <v>18</v>
      </c>
      <c r="H15" s="86">
        <v>18</v>
      </c>
      <c r="I15" s="86">
        <v>33</v>
      </c>
      <c r="J15" s="86">
        <v>5</v>
      </c>
      <c r="K15" s="86">
        <v>16</v>
      </c>
      <c r="L15" s="86">
        <v>11</v>
      </c>
      <c r="M15" s="86">
        <v>16</v>
      </c>
      <c r="N15" s="86">
        <v>110</v>
      </c>
      <c r="O15" s="86">
        <v>15</v>
      </c>
      <c r="P15" s="86">
        <v>25</v>
      </c>
      <c r="Q15" s="86">
        <v>141</v>
      </c>
      <c r="R15" s="86">
        <v>31</v>
      </c>
      <c r="S15" s="86">
        <v>11</v>
      </c>
      <c r="T15" s="86">
        <v>29</v>
      </c>
      <c r="U15" s="86">
        <v>49</v>
      </c>
      <c r="V15" s="86">
        <v>880</v>
      </c>
      <c r="W15" s="86">
        <v>111</v>
      </c>
      <c r="X15" s="86">
        <v>120</v>
      </c>
      <c r="Y15" s="86">
        <v>110</v>
      </c>
      <c r="Z15" s="86">
        <v>220</v>
      </c>
      <c r="AA15" s="86">
        <v>120</v>
      </c>
      <c r="AB15" s="86">
        <v>13</v>
      </c>
      <c r="AC15" s="86">
        <v>22</v>
      </c>
      <c r="AD15" s="86">
        <v>17</v>
      </c>
      <c r="AE15" s="86">
        <v>16</v>
      </c>
      <c r="AF15" s="86">
        <v>100</v>
      </c>
      <c r="AG15" s="86">
        <v>15</v>
      </c>
      <c r="AH15" s="86">
        <v>21</v>
      </c>
      <c r="AI15" s="86">
        <v>106</v>
      </c>
      <c r="AJ15" s="86">
        <v>6</v>
      </c>
      <c r="AK15" s="86">
        <v>17</v>
      </c>
      <c r="AL15" s="86">
        <v>18</v>
      </c>
      <c r="AM15" s="86">
        <v>53</v>
      </c>
      <c r="AN15" s="86">
        <v>9</v>
      </c>
      <c r="AO15" s="86">
        <v>10</v>
      </c>
      <c r="AP15" s="86">
        <v>21</v>
      </c>
      <c r="AR15" s="14">
        <f t="shared" si="10"/>
        <v>0</v>
      </c>
      <c r="AS15" s="14">
        <f t="shared" si="11"/>
        <v>588</v>
      </c>
      <c r="AT15" s="14">
        <f t="shared" si="12"/>
        <v>150</v>
      </c>
      <c r="AU15" s="14">
        <f t="shared" si="13"/>
        <v>212</v>
      </c>
      <c r="AV15" s="15">
        <f t="shared" si="14"/>
        <v>1490</v>
      </c>
      <c r="AW15" s="14">
        <f t="shared" si="15"/>
        <v>188</v>
      </c>
      <c r="AX15" s="14">
        <f t="shared" si="16"/>
        <v>136</v>
      </c>
      <c r="AY15" s="14">
        <f t="shared" si="17"/>
        <v>147</v>
      </c>
      <c r="AZ15" s="14">
        <f t="shared" si="18"/>
        <v>93</v>
      </c>
      <c r="BA15" s="16">
        <f t="shared" si="19"/>
        <v>3004</v>
      </c>
    </row>
    <row r="16" spans="1:66" s="48" customFormat="1" ht="17.25" customHeight="1" x14ac:dyDescent="0.25">
      <c r="A16" s="77">
        <v>13</v>
      </c>
      <c r="B16" s="80" t="s">
        <v>111</v>
      </c>
      <c r="C16" s="213" t="s">
        <v>108</v>
      </c>
      <c r="D16" s="86"/>
      <c r="E16" s="86">
        <v>4165</v>
      </c>
      <c r="F16" s="86">
        <v>82</v>
      </c>
      <c r="G16" s="86">
        <v>54</v>
      </c>
      <c r="H16" s="86">
        <v>109</v>
      </c>
      <c r="I16" s="86">
        <v>134</v>
      </c>
      <c r="J16" s="86">
        <v>72</v>
      </c>
      <c r="K16" s="86">
        <v>50</v>
      </c>
      <c r="L16" s="86">
        <v>82</v>
      </c>
      <c r="M16" s="86">
        <v>47</v>
      </c>
      <c r="N16" s="86">
        <v>220</v>
      </c>
      <c r="O16" s="86">
        <v>87</v>
      </c>
      <c r="P16" s="86">
        <v>166</v>
      </c>
      <c r="Q16" s="86">
        <v>411</v>
      </c>
      <c r="R16" s="86">
        <v>127</v>
      </c>
      <c r="S16" s="86">
        <v>41</v>
      </c>
      <c r="T16" s="86">
        <v>147</v>
      </c>
      <c r="U16" s="86">
        <v>203</v>
      </c>
      <c r="V16" s="86">
        <v>1713</v>
      </c>
      <c r="W16" s="86">
        <v>129</v>
      </c>
      <c r="X16" s="86">
        <v>97</v>
      </c>
      <c r="Y16" s="86">
        <v>124</v>
      </c>
      <c r="Z16" s="86">
        <v>216</v>
      </c>
      <c r="AA16" s="86">
        <v>623</v>
      </c>
      <c r="AB16" s="86">
        <v>75</v>
      </c>
      <c r="AC16" s="86">
        <v>223</v>
      </c>
      <c r="AD16" s="86">
        <v>120</v>
      </c>
      <c r="AE16" s="86">
        <v>119</v>
      </c>
      <c r="AF16" s="86">
        <v>674</v>
      </c>
      <c r="AG16" s="86">
        <v>60</v>
      </c>
      <c r="AH16" s="86">
        <v>79</v>
      </c>
      <c r="AI16" s="86">
        <v>419</v>
      </c>
      <c r="AJ16" s="86">
        <v>40</v>
      </c>
      <c r="AK16" s="86">
        <v>57</v>
      </c>
      <c r="AL16" s="86">
        <v>37</v>
      </c>
      <c r="AM16" s="86">
        <v>286</v>
      </c>
      <c r="AN16" s="86">
        <v>207</v>
      </c>
      <c r="AO16" s="86">
        <v>28</v>
      </c>
      <c r="AP16" s="86">
        <v>38</v>
      </c>
      <c r="AQ16" s="6"/>
      <c r="AR16" s="14">
        <f t="shared" ref="AR16:AR22" si="20">SUM(D16)</f>
        <v>0</v>
      </c>
      <c r="AS16" s="14">
        <f t="shared" ref="AS16:AS22" si="21">+SUM(E16:M16)</f>
        <v>4795</v>
      </c>
      <c r="AT16" s="14">
        <f t="shared" ref="AT16:AT22" si="22">+SUM(N16:P16)</f>
        <v>473</v>
      </c>
      <c r="AU16" s="14">
        <f t="shared" ref="AU16:AU22" si="23">+SUM(Q16:T16)</f>
        <v>726</v>
      </c>
      <c r="AV16" s="15">
        <f t="shared" ref="AV16:AV22" si="24">+SUM(U16:Z16)</f>
        <v>2482</v>
      </c>
      <c r="AW16" s="14">
        <f t="shared" ref="AW16:AW22" si="25">+SUM(AA16:AE16)</f>
        <v>1160</v>
      </c>
      <c r="AX16" s="14">
        <f t="shared" ref="AX16:AX22" si="26">+SUM(AF16:AH16)</f>
        <v>813</v>
      </c>
      <c r="AY16" s="14">
        <f t="shared" ref="AY16:AY22" si="27">+SUM(AI16:AL16)</f>
        <v>553</v>
      </c>
      <c r="AZ16" s="14">
        <f t="shared" ref="AZ16:AZ22" si="28">+SUM(AM16:AP16)</f>
        <v>559</v>
      </c>
      <c r="BA16" s="16">
        <f t="shared" si="19"/>
        <v>11561</v>
      </c>
    </row>
    <row r="17" spans="1:53" s="48" customFormat="1" ht="17.25" customHeight="1" x14ac:dyDescent="0.25">
      <c r="A17" s="78">
        <v>14</v>
      </c>
      <c r="B17" s="80" t="s">
        <v>112</v>
      </c>
      <c r="C17" s="213" t="s">
        <v>108</v>
      </c>
      <c r="D17" s="86"/>
      <c r="E17" s="86">
        <v>4165</v>
      </c>
      <c r="F17" s="86">
        <v>82</v>
      </c>
      <c r="G17" s="86">
        <v>54</v>
      </c>
      <c r="H17" s="86">
        <v>109</v>
      </c>
      <c r="I17" s="86">
        <v>134</v>
      </c>
      <c r="J17" s="86">
        <v>72</v>
      </c>
      <c r="K17" s="86">
        <v>50</v>
      </c>
      <c r="L17" s="86">
        <v>82</v>
      </c>
      <c r="M17" s="86">
        <v>47</v>
      </c>
      <c r="N17" s="86">
        <v>220</v>
      </c>
      <c r="O17" s="86">
        <v>87</v>
      </c>
      <c r="P17" s="86">
        <v>166</v>
      </c>
      <c r="Q17" s="86">
        <v>411</v>
      </c>
      <c r="R17" s="86">
        <v>127</v>
      </c>
      <c r="S17" s="86">
        <v>41</v>
      </c>
      <c r="T17" s="86">
        <v>147</v>
      </c>
      <c r="U17" s="86">
        <v>203</v>
      </c>
      <c r="V17" s="86">
        <v>1713</v>
      </c>
      <c r="W17" s="86">
        <v>129</v>
      </c>
      <c r="X17" s="86">
        <v>97</v>
      </c>
      <c r="Y17" s="86">
        <v>124</v>
      </c>
      <c r="Z17" s="86">
        <v>216</v>
      </c>
      <c r="AA17" s="86">
        <v>623</v>
      </c>
      <c r="AB17" s="86">
        <v>75</v>
      </c>
      <c r="AC17" s="86">
        <v>223</v>
      </c>
      <c r="AD17" s="86">
        <v>120</v>
      </c>
      <c r="AE17" s="86">
        <v>119</v>
      </c>
      <c r="AF17" s="86">
        <v>674</v>
      </c>
      <c r="AG17" s="86">
        <v>60</v>
      </c>
      <c r="AH17" s="86">
        <v>79</v>
      </c>
      <c r="AI17" s="86">
        <v>419</v>
      </c>
      <c r="AJ17" s="86">
        <v>40</v>
      </c>
      <c r="AK17" s="86">
        <v>57</v>
      </c>
      <c r="AL17" s="86">
        <v>37</v>
      </c>
      <c r="AM17" s="86">
        <v>286</v>
      </c>
      <c r="AN17" s="86">
        <v>207</v>
      </c>
      <c r="AO17" s="86">
        <v>28</v>
      </c>
      <c r="AP17" s="86">
        <v>38</v>
      </c>
      <c r="AQ17" s="6"/>
      <c r="AR17" s="14">
        <f t="shared" si="20"/>
        <v>0</v>
      </c>
      <c r="AS17" s="14">
        <f t="shared" si="21"/>
        <v>4795</v>
      </c>
      <c r="AT17" s="14">
        <f t="shared" si="22"/>
        <v>473</v>
      </c>
      <c r="AU17" s="14">
        <f t="shared" si="23"/>
        <v>726</v>
      </c>
      <c r="AV17" s="15">
        <f t="shared" si="24"/>
        <v>2482</v>
      </c>
      <c r="AW17" s="14">
        <f t="shared" si="25"/>
        <v>1160</v>
      </c>
      <c r="AX17" s="14">
        <f t="shared" si="26"/>
        <v>813</v>
      </c>
      <c r="AY17" s="14">
        <f t="shared" si="27"/>
        <v>553</v>
      </c>
      <c r="AZ17" s="14">
        <f t="shared" si="28"/>
        <v>559</v>
      </c>
      <c r="BA17" s="16">
        <f t="shared" si="19"/>
        <v>11561</v>
      </c>
    </row>
    <row r="18" spans="1:53" s="48" customFormat="1" ht="17.25" customHeight="1" x14ac:dyDescent="0.25">
      <c r="A18" s="77">
        <v>15</v>
      </c>
      <c r="B18" s="80" t="s">
        <v>117</v>
      </c>
      <c r="C18" s="213" t="s">
        <v>108</v>
      </c>
      <c r="D18" s="86"/>
      <c r="E18" s="86">
        <v>4165</v>
      </c>
      <c r="F18" s="86">
        <v>82</v>
      </c>
      <c r="G18" s="86">
        <v>54</v>
      </c>
      <c r="H18" s="86">
        <v>109</v>
      </c>
      <c r="I18" s="86">
        <v>134</v>
      </c>
      <c r="J18" s="86">
        <v>72</v>
      </c>
      <c r="K18" s="86">
        <v>50</v>
      </c>
      <c r="L18" s="86">
        <v>82</v>
      </c>
      <c r="M18" s="86">
        <v>47</v>
      </c>
      <c r="N18" s="86">
        <v>220</v>
      </c>
      <c r="O18" s="86">
        <v>87</v>
      </c>
      <c r="P18" s="86">
        <v>166</v>
      </c>
      <c r="Q18" s="86">
        <v>411</v>
      </c>
      <c r="R18" s="86">
        <v>127</v>
      </c>
      <c r="S18" s="86">
        <v>41</v>
      </c>
      <c r="T18" s="86">
        <v>147</v>
      </c>
      <c r="U18" s="86">
        <v>203</v>
      </c>
      <c r="V18" s="86">
        <v>1713</v>
      </c>
      <c r="W18" s="86">
        <v>129</v>
      </c>
      <c r="X18" s="86">
        <v>97</v>
      </c>
      <c r="Y18" s="86">
        <v>124</v>
      </c>
      <c r="Z18" s="86">
        <v>216</v>
      </c>
      <c r="AA18" s="86">
        <v>623</v>
      </c>
      <c r="AB18" s="86">
        <v>75</v>
      </c>
      <c r="AC18" s="86">
        <v>223</v>
      </c>
      <c r="AD18" s="86">
        <v>120</v>
      </c>
      <c r="AE18" s="86">
        <v>119</v>
      </c>
      <c r="AF18" s="86">
        <v>674</v>
      </c>
      <c r="AG18" s="86">
        <v>60</v>
      </c>
      <c r="AH18" s="86">
        <v>79</v>
      </c>
      <c r="AI18" s="86">
        <v>419</v>
      </c>
      <c r="AJ18" s="86">
        <v>40</v>
      </c>
      <c r="AK18" s="86">
        <v>57</v>
      </c>
      <c r="AL18" s="86">
        <v>37</v>
      </c>
      <c r="AM18" s="86">
        <v>286</v>
      </c>
      <c r="AN18" s="86">
        <v>207</v>
      </c>
      <c r="AO18" s="86">
        <v>28</v>
      </c>
      <c r="AP18" s="86">
        <v>38</v>
      </c>
      <c r="AQ18" s="6"/>
      <c r="AR18" s="14">
        <f t="shared" si="20"/>
        <v>0</v>
      </c>
      <c r="AS18" s="14">
        <f t="shared" si="21"/>
        <v>4795</v>
      </c>
      <c r="AT18" s="14">
        <f t="shared" si="22"/>
        <v>473</v>
      </c>
      <c r="AU18" s="14">
        <f t="shared" si="23"/>
        <v>726</v>
      </c>
      <c r="AV18" s="15">
        <f t="shared" si="24"/>
        <v>2482</v>
      </c>
      <c r="AW18" s="14">
        <f t="shared" si="25"/>
        <v>1160</v>
      </c>
      <c r="AX18" s="14">
        <f t="shared" si="26"/>
        <v>813</v>
      </c>
      <c r="AY18" s="14">
        <f t="shared" si="27"/>
        <v>553</v>
      </c>
      <c r="AZ18" s="14">
        <f t="shared" si="28"/>
        <v>559</v>
      </c>
      <c r="BA18" s="16">
        <f t="shared" si="19"/>
        <v>11561</v>
      </c>
    </row>
    <row r="19" spans="1:53" s="48" customFormat="1" ht="17.25" customHeight="1" x14ac:dyDescent="0.25">
      <c r="A19" s="77">
        <v>16</v>
      </c>
      <c r="B19" s="80" t="s">
        <v>113</v>
      </c>
      <c r="C19" s="213" t="s">
        <v>109</v>
      </c>
      <c r="D19" s="86">
        <v>320</v>
      </c>
      <c r="E19" s="86">
        <v>80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50</v>
      </c>
      <c r="O19" s="86">
        <v>0</v>
      </c>
      <c r="P19" s="86">
        <v>0</v>
      </c>
      <c r="Q19" s="86">
        <v>50</v>
      </c>
      <c r="R19" s="86">
        <v>0</v>
      </c>
      <c r="S19" s="86">
        <v>0</v>
      </c>
      <c r="T19" s="86">
        <v>0</v>
      </c>
      <c r="U19" s="86">
        <v>0</v>
      </c>
      <c r="V19" s="86">
        <v>70</v>
      </c>
      <c r="W19" s="86">
        <v>0</v>
      </c>
      <c r="X19" s="86">
        <v>0</v>
      </c>
      <c r="Y19" s="86">
        <v>0</v>
      </c>
      <c r="Z19" s="86">
        <v>0</v>
      </c>
      <c r="AA19" s="86">
        <v>70</v>
      </c>
      <c r="AB19" s="86">
        <v>0</v>
      </c>
      <c r="AC19" s="86">
        <v>0</v>
      </c>
      <c r="AD19" s="86">
        <v>0</v>
      </c>
      <c r="AE19" s="86">
        <v>0</v>
      </c>
      <c r="AF19" s="86">
        <v>40</v>
      </c>
      <c r="AG19" s="86">
        <v>0</v>
      </c>
      <c r="AH19" s="86">
        <v>0</v>
      </c>
      <c r="AI19" s="86">
        <v>30</v>
      </c>
      <c r="AJ19" s="86">
        <v>0</v>
      </c>
      <c r="AK19" s="86">
        <v>0</v>
      </c>
      <c r="AL19" s="86">
        <v>0</v>
      </c>
      <c r="AM19" s="86">
        <v>30</v>
      </c>
      <c r="AN19" s="86">
        <v>0</v>
      </c>
      <c r="AO19" s="86">
        <v>0</v>
      </c>
      <c r="AP19" s="86">
        <v>0</v>
      </c>
      <c r="AQ19" s="6"/>
      <c r="AR19" s="14">
        <f t="shared" si="20"/>
        <v>320</v>
      </c>
      <c r="AS19" s="14">
        <f t="shared" si="21"/>
        <v>80</v>
      </c>
      <c r="AT19" s="14">
        <f t="shared" si="22"/>
        <v>50</v>
      </c>
      <c r="AU19" s="14">
        <f t="shared" si="23"/>
        <v>50</v>
      </c>
      <c r="AV19" s="15">
        <f t="shared" si="24"/>
        <v>70</v>
      </c>
      <c r="AW19" s="14">
        <f t="shared" si="25"/>
        <v>70</v>
      </c>
      <c r="AX19" s="14">
        <f t="shared" si="26"/>
        <v>40</v>
      </c>
      <c r="AY19" s="14">
        <f t="shared" si="27"/>
        <v>30</v>
      </c>
      <c r="AZ19" s="14">
        <f t="shared" si="28"/>
        <v>30</v>
      </c>
      <c r="BA19" s="16">
        <f t="shared" si="19"/>
        <v>740</v>
      </c>
    </row>
    <row r="20" spans="1:53" s="48" customFormat="1" ht="17.25" customHeight="1" x14ac:dyDescent="0.25">
      <c r="A20" s="78">
        <v>17</v>
      </c>
      <c r="B20" s="80" t="s">
        <v>114</v>
      </c>
      <c r="C20" s="213" t="s">
        <v>110</v>
      </c>
      <c r="D20" s="86"/>
      <c r="E20" s="86">
        <v>30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20</v>
      </c>
      <c r="O20" s="86">
        <v>0</v>
      </c>
      <c r="P20" s="86">
        <v>0</v>
      </c>
      <c r="Q20" s="86">
        <v>20</v>
      </c>
      <c r="R20" s="86">
        <v>0</v>
      </c>
      <c r="S20" s="86">
        <v>0</v>
      </c>
      <c r="T20" s="86">
        <v>0</v>
      </c>
      <c r="U20" s="86">
        <v>0</v>
      </c>
      <c r="V20" s="86">
        <v>30</v>
      </c>
      <c r="W20" s="86">
        <v>0</v>
      </c>
      <c r="X20" s="86">
        <v>0</v>
      </c>
      <c r="Y20" s="86">
        <v>0</v>
      </c>
      <c r="Z20" s="86">
        <v>0</v>
      </c>
      <c r="AA20" s="86">
        <v>30</v>
      </c>
      <c r="AB20" s="86">
        <v>0</v>
      </c>
      <c r="AC20" s="86">
        <v>0</v>
      </c>
      <c r="AD20" s="86">
        <v>0</v>
      </c>
      <c r="AE20" s="86">
        <v>0</v>
      </c>
      <c r="AF20" s="86">
        <v>20</v>
      </c>
      <c r="AG20" s="86">
        <v>0</v>
      </c>
      <c r="AH20" s="86">
        <v>0</v>
      </c>
      <c r="AI20" s="86">
        <v>20</v>
      </c>
      <c r="AJ20" s="86">
        <v>0</v>
      </c>
      <c r="AK20" s="86">
        <v>0</v>
      </c>
      <c r="AL20" s="86">
        <v>0</v>
      </c>
      <c r="AM20" s="86">
        <v>10</v>
      </c>
      <c r="AN20" s="86">
        <v>0</v>
      </c>
      <c r="AO20" s="86">
        <v>0</v>
      </c>
      <c r="AP20" s="86">
        <v>0</v>
      </c>
      <c r="AQ20" s="6"/>
      <c r="AR20" s="14">
        <f t="shared" si="20"/>
        <v>0</v>
      </c>
      <c r="AS20" s="14">
        <f t="shared" si="21"/>
        <v>30</v>
      </c>
      <c r="AT20" s="14">
        <f t="shared" si="22"/>
        <v>20</v>
      </c>
      <c r="AU20" s="14">
        <f t="shared" si="23"/>
        <v>20</v>
      </c>
      <c r="AV20" s="15">
        <f t="shared" si="24"/>
        <v>30</v>
      </c>
      <c r="AW20" s="14">
        <f t="shared" si="25"/>
        <v>30</v>
      </c>
      <c r="AX20" s="14">
        <f t="shared" si="26"/>
        <v>20</v>
      </c>
      <c r="AY20" s="14">
        <f t="shared" si="27"/>
        <v>20</v>
      </c>
      <c r="AZ20" s="14">
        <f t="shared" si="28"/>
        <v>10</v>
      </c>
      <c r="BA20" s="16">
        <f t="shared" si="19"/>
        <v>180</v>
      </c>
    </row>
    <row r="21" spans="1:53" s="48" customFormat="1" ht="17.25" customHeight="1" x14ac:dyDescent="0.25">
      <c r="A21" s="77">
        <v>18</v>
      </c>
      <c r="B21" s="80" t="s">
        <v>115</v>
      </c>
      <c r="C21" s="213" t="s">
        <v>110</v>
      </c>
      <c r="D21" s="86"/>
      <c r="E21" s="86">
        <v>1865</v>
      </c>
      <c r="F21" s="86">
        <v>332</v>
      </c>
      <c r="G21" s="86">
        <v>234</v>
      </c>
      <c r="H21" s="86">
        <v>407</v>
      </c>
      <c r="I21" s="86">
        <v>613</v>
      </c>
      <c r="J21" s="86">
        <v>23</v>
      </c>
      <c r="K21" s="86">
        <v>478</v>
      </c>
      <c r="L21" s="86">
        <v>259</v>
      </c>
      <c r="M21" s="86">
        <v>450</v>
      </c>
      <c r="N21" s="86">
        <v>516</v>
      </c>
      <c r="O21" s="86">
        <v>303</v>
      </c>
      <c r="P21" s="86">
        <v>478</v>
      </c>
      <c r="Q21" s="86">
        <v>926</v>
      </c>
      <c r="R21" s="86">
        <v>348</v>
      </c>
      <c r="S21" s="86">
        <v>165</v>
      </c>
      <c r="T21" s="86">
        <v>623</v>
      </c>
      <c r="U21" s="86">
        <v>648</v>
      </c>
      <c r="V21" s="86">
        <v>4923</v>
      </c>
      <c r="W21" s="86">
        <v>464</v>
      </c>
      <c r="X21" s="86">
        <v>711</v>
      </c>
      <c r="Y21" s="86">
        <v>493</v>
      </c>
      <c r="Z21" s="86">
        <v>610</v>
      </c>
      <c r="AA21" s="86">
        <v>1414</v>
      </c>
      <c r="AB21" s="86">
        <v>329</v>
      </c>
      <c r="AC21" s="86">
        <v>715</v>
      </c>
      <c r="AD21" s="86">
        <v>239</v>
      </c>
      <c r="AE21" s="86">
        <v>607</v>
      </c>
      <c r="AF21" s="86">
        <v>2177</v>
      </c>
      <c r="AG21" s="86">
        <v>318</v>
      </c>
      <c r="AH21" s="86">
        <v>197</v>
      </c>
      <c r="AI21" s="86">
        <v>1361</v>
      </c>
      <c r="AJ21" s="86">
        <v>105</v>
      </c>
      <c r="AK21" s="86">
        <v>182</v>
      </c>
      <c r="AL21" s="86">
        <v>24</v>
      </c>
      <c r="AM21" s="86">
        <v>1415</v>
      </c>
      <c r="AN21" s="86">
        <v>158</v>
      </c>
      <c r="AO21" s="86">
        <v>80</v>
      </c>
      <c r="AP21" s="86">
        <v>451</v>
      </c>
      <c r="AQ21" s="6"/>
      <c r="AR21" s="14">
        <f t="shared" si="20"/>
        <v>0</v>
      </c>
      <c r="AS21" s="14">
        <f t="shared" si="21"/>
        <v>4661</v>
      </c>
      <c r="AT21" s="14">
        <f t="shared" si="22"/>
        <v>1297</v>
      </c>
      <c r="AU21" s="14">
        <f t="shared" si="23"/>
        <v>2062</v>
      </c>
      <c r="AV21" s="15">
        <f t="shared" si="24"/>
        <v>7849</v>
      </c>
      <c r="AW21" s="14">
        <f t="shared" si="25"/>
        <v>3304</v>
      </c>
      <c r="AX21" s="14">
        <f t="shared" si="26"/>
        <v>2692</v>
      </c>
      <c r="AY21" s="14">
        <f t="shared" si="27"/>
        <v>1672</v>
      </c>
      <c r="AZ21" s="14">
        <f t="shared" si="28"/>
        <v>2104</v>
      </c>
      <c r="BA21" s="16">
        <f t="shared" si="19"/>
        <v>25641</v>
      </c>
    </row>
    <row r="22" spans="1:53" s="48" customFormat="1" ht="17.25" customHeight="1" x14ac:dyDescent="0.25">
      <c r="A22" s="77">
        <v>19</v>
      </c>
      <c r="B22" s="80" t="s">
        <v>116</v>
      </c>
      <c r="C22" s="213" t="s">
        <v>110</v>
      </c>
      <c r="D22" s="86"/>
      <c r="E22" s="86">
        <v>556</v>
      </c>
      <c r="F22" s="86">
        <v>15</v>
      </c>
      <c r="G22" s="86">
        <v>15</v>
      </c>
      <c r="H22" s="86">
        <v>17</v>
      </c>
      <c r="I22" s="86">
        <v>24</v>
      </c>
      <c r="J22" s="86">
        <v>3</v>
      </c>
      <c r="K22" s="86">
        <v>20</v>
      </c>
      <c r="L22" s="86">
        <v>17</v>
      </c>
      <c r="M22" s="86">
        <v>22</v>
      </c>
      <c r="N22" s="86">
        <v>15</v>
      </c>
      <c r="O22" s="86">
        <v>11</v>
      </c>
      <c r="P22" s="86">
        <v>21</v>
      </c>
      <c r="Q22" s="86">
        <v>36</v>
      </c>
      <c r="R22" s="86">
        <v>20</v>
      </c>
      <c r="S22" s="86">
        <v>4</v>
      </c>
      <c r="T22" s="86">
        <v>18</v>
      </c>
      <c r="U22" s="86">
        <v>17</v>
      </c>
      <c r="V22" s="86">
        <v>177</v>
      </c>
      <c r="W22" s="86">
        <v>26</v>
      </c>
      <c r="X22" s="86">
        <v>30</v>
      </c>
      <c r="Y22" s="86">
        <v>16</v>
      </c>
      <c r="Z22" s="86">
        <v>23</v>
      </c>
      <c r="AA22" s="86">
        <v>64</v>
      </c>
      <c r="AB22" s="86">
        <v>12</v>
      </c>
      <c r="AC22" s="86">
        <v>31</v>
      </c>
      <c r="AD22" s="86">
        <v>10</v>
      </c>
      <c r="AE22" s="86">
        <v>19</v>
      </c>
      <c r="AF22" s="86">
        <v>92</v>
      </c>
      <c r="AG22" s="86">
        <v>14</v>
      </c>
      <c r="AH22" s="86">
        <v>7</v>
      </c>
      <c r="AI22" s="86">
        <v>61</v>
      </c>
      <c r="AJ22" s="86">
        <v>7</v>
      </c>
      <c r="AK22" s="86">
        <v>4</v>
      </c>
      <c r="AL22" s="86">
        <v>1</v>
      </c>
      <c r="AM22" s="86">
        <v>61</v>
      </c>
      <c r="AN22" s="86">
        <v>15</v>
      </c>
      <c r="AO22" s="86">
        <v>11</v>
      </c>
      <c r="AP22" s="86">
        <v>22</v>
      </c>
      <c r="AQ22" s="6"/>
      <c r="AR22" s="14">
        <f t="shared" si="20"/>
        <v>0</v>
      </c>
      <c r="AS22" s="14">
        <f t="shared" si="21"/>
        <v>689</v>
      </c>
      <c r="AT22" s="14">
        <f t="shared" si="22"/>
        <v>47</v>
      </c>
      <c r="AU22" s="14">
        <f t="shared" si="23"/>
        <v>78</v>
      </c>
      <c r="AV22" s="15">
        <f t="shared" si="24"/>
        <v>289</v>
      </c>
      <c r="AW22" s="14">
        <f t="shared" si="25"/>
        <v>136</v>
      </c>
      <c r="AX22" s="14">
        <f t="shared" si="26"/>
        <v>113</v>
      </c>
      <c r="AY22" s="14">
        <f t="shared" si="27"/>
        <v>73</v>
      </c>
      <c r="AZ22" s="14">
        <f t="shared" si="28"/>
        <v>109</v>
      </c>
      <c r="BA22" s="16">
        <f t="shared" si="19"/>
        <v>1534</v>
      </c>
    </row>
    <row r="23" spans="1:53" ht="17.25" customHeight="1" x14ac:dyDescent="0.25">
      <c r="A23" s="78">
        <v>20</v>
      </c>
      <c r="B23" s="80" t="s">
        <v>106</v>
      </c>
      <c r="C23" s="214" t="s">
        <v>102</v>
      </c>
      <c r="D23" s="86">
        <v>300</v>
      </c>
      <c r="E23" s="86">
        <v>936</v>
      </c>
      <c r="F23" s="86">
        <v>51</v>
      </c>
      <c r="G23" s="86">
        <v>38</v>
      </c>
      <c r="H23" s="86">
        <v>41</v>
      </c>
      <c r="I23" s="86">
        <v>86</v>
      </c>
      <c r="J23" s="86">
        <v>16</v>
      </c>
      <c r="K23" s="86">
        <v>34</v>
      </c>
      <c r="L23" s="86">
        <v>21</v>
      </c>
      <c r="M23" s="86">
        <v>35</v>
      </c>
      <c r="N23" s="86">
        <v>120</v>
      </c>
      <c r="O23" s="86">
        <v>29</v>
      </c>
      <c r="P23" s="86">
        <v>56</v>
      </c>
      <c r="Q23" s="86">
        <v>142</v>
      </c>
      <c r="R23" s="86">
        <v>64</v>
      </c>
      <c r="S23" s="86">
        <v>25</v>
      </c>
      <c r="T23" s="86">
        <v>60</v>
      </c>
      <c r="U23" s="86">
        <v>83</v>
      </c>
      <c r="V23" s="86">
        <v>840</v>
      </c>
      <c r="W23" s="86">
        <v>109</v>
      </c>
      <c r="X23" s="86">
        <v>111</v>
      </c>
      <c r="Y23" s="86">
        <v>90</v>
      </c>
      <c r="Z23" s="86">
        <v>241</v>
      </c>
      <c r="AA23" s="86">
        <v>132</v>
      </c>
      <c r="AB23" s="86">
        <v>24</v>
      </c>
      <c r="AC23" s="86">
        <v>43</v>
      </c>
      <c r="AD23" s="86">
        <v>34</v>
      </c>
      <c r="AE23" s="86">
        <v>34</v>
      </c>
      <c r="AF23" s="86">
        <v>180</v>
      </c>
      <c r="AG23" s="86">
        <v>26</v>
      </c>
      <c r="AH23" s="86">
        <v>37</v>
      </c>
      <c r="AI23" s="86">
        <v>123</v>
      </c>
      <c r="AJ23" s="86">
        <v>18</v>
      </c>
      <c r="AK23" s="86">
        <v>37</v>
      </c>
      <c r="AL23" s="86">
        <v>21</v>
      </c>
      <c r="AM23" s="86">
        <v>117</v>
      </c>
      <c r="AN23" s="86">
        <v>27</v>
      </c>
      <c r="AO23" s="86">
        <v>27</v>
      </c>
      <c r="AP23" s="86">
        <v>51</v>
      </c>
      <c r="AR23" s="14">
        <f t="shared" si="10"/>
        <v>300</v>
      </c>
      <c r="AS23" s="14">
        <f t="shared" si="11"/>
        <v>1258</v>
      </c>
      <c r="AT23" s="14">
        <f t="shared" si="12"/>
        <v>205</v>
      </c>
      <c r="AU23" s="14">
        <f t="shared" si="13"/>
        <v>291</v>
      </c>
      <c r="AV23" s="15">
        <f t="shared" si="14"/>
        <v>1474</v>
      </c>
      <c r="AW23" s="14">
        <f t="shared" si="15"/>
        <v>267</v>
      </c>
      <c r="AX23" s="14">
        <f t="shared" si="16"/>
        <v>243</v>
      </c>
      <c r="AY23" s="14">
        <f t="shared" si="17"/>
        <v>199</v>
      </c>
      <c r="AZ23" s="14">
        <f t="shared" si="18"/>
        <v>222</v>
      </c>
      <c r="BA23" s="16">
        <f t="shared" si="19"/>
        <v>4459</v>
      </c>
    </row>
    <row r="24" spans="1:53" ht="17.25" customHeight="1" x14ac:dyDescent="0.25">
      <c r="A24" s="77">
        <v>21</v>
      </c>
      <c r="B24" s="80" t="s">
        <v>107</v>
      </c>
      <c r="C24" s="214" t="s">
        <v>102</v>
      </c>
      <c r="D24" s="86">
        <v>200</v>
      </c>
      <c r="E24" s="86">
        <v>897</v>
      </c>
      <c r="F24" s="86">
        <v>50</v>
      </c>
      <c r="G24" s="86">
        <v>37</v>
      </c>
      <c r="H24" s="86">
        <v>36</v>
      </c>
      <c r="I24" s="86">
        <v>67</v>
      </c>
      <c r="J24" s="86">
        <v>10</v>
      </c>
      <c r="K24" s="86">
        <v>32</v>
      </c>
      <c r="L24" s="86">
        <v>21</v>
      </c>
      <c r="M24" s="86">
        <v>32</v>
      </c>
      <c r="N24" s="86">
        <v>110</v>
      </c>
      <c r="O24" s="86">
        <v>28</v>
      </c>
      <c r="P24" s="86">
        <v>47</v>
      </c>
      <c r="Q24" s="86">
        <v>142</v>
      </c>
      <c r="R24" s="86">
        <v>63</v>
      </c>
      <c r="S24" s="86">
        <v>22</v>
      </c>
      <c r="T24" s="86">
        <v>63</v>
      </c>
      <c r="U24" s="86">
        <v>71</v>
      </c>
      <c r="V24" s="86">
        <v>833</v>
      </c>
      <c r="W24" s="86">
        <v>109</v>
      </c>
      <c r="X24" s="86">
        <v>109</v>
      </c>
      <c r="Y24" s="86">
        <v>90</v>
      </c>
      <c r="Z24" s="86">
        <v>230</v>
      </c>
      <c r="AA24" s="86">
        <v>120</v>
      </c>
      <c r="AB24" s="86">
        <v>24</v>
      </c>
      <c r="AC24" s="86">
        <v>41</v>
      </c>
      <c r="AD24" s="86">
        <v>32</v>
      </c>
      <c r="AE24" s="86">
        <v>30</v>
      </c>
      <c r="AF24" s="86">
        <v>179</v>
      </c>
      <c r="AG24" s="86">
        <v>26</v>
      </c>
      <c r="AH24" s="86">
        <v>37</v>
      </c>
      <c r="AI24" s="86">
        <v>115</v>
      </c>
      <c r="AJ24" s="86">
        <v>12</v>
      </c>
      <c r="AK24" s="86">
        <v>35</v>
      </c>
      <c r="AL24" s="86">
        <v>20</v>
      </c>
      <c r="AM24" s="86">
        <v>107</v>
      </c>
      <c r="AN24" s="86">
        <v>20</v>
      </c>
      <c r="AO24" s="86">
        <v>20</v>
      </c>
      <c r="AP24" s="86">
        <v>43</v>
      </c>
      <c r="AR24" s="14">
        <f t="shared" si="10"/>
        <v>200</v>
      </c>
      <c r="AS24" s="14">
        <f t="shared" si="11"/>
        <v>1182</v>
      </c>
      <c r="AT24" s="14">
        <f t="shared" si="12"/>
        <v>185</v>
      </c>
      <c r="AU24" s="14">
        <f t="shared" si="13"/>
        <v>290</v>
      </c>
      <c r="AV24" s="15">
        <f t="shared" si="14"/>
        <v>1442</v>
      </c>
      <c r="AW24" s="14">
        <f t="shared" si="15"/>
        <v>247</v>
      </c>
      <c r="AX24" s="14">
        <f t="shared" si="16"/>
        <v>242</v>
      </c>
      <c r="AY24" s="14">
        <f t="shared" si="17"/>
        <v>182</v>
      </c>
      <c r="AZ24" s="14">
        <f t="shared" si="18"/>
        <v>190</v>
      </c>
      <c r="BA24" s="16">
        <f t="shared" si="19"/>
        <v>4160</v>
      </c>
    </row>
    <row r="25" spans="1:53" s="48" customFormat="1" ht="17.25" customHeight="1" x14ac:dyDescent="0.25">
      <c r="A25" s="77">
        <v>22</v>
      </c>
      <c r="B25" s="80" t="s">
        <v>118</v>
      </c>
      <c r="C25" s="214" t="s">
        <v>102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6"/>
      <c r="AR25" s="14"/>
      <c r="AS25" s="14"/>
      <c r="AT25" s="14"/>
      <c r="AU25" s="14"/>
      <c r="AV25" s="15"/>
      <c r="AW25" s="14"/>
      <c r="AX25" s="14"/>
      <c r="AY25" s="14"/>
      <c r="AZ25" s="14"/>
      <c r="BA25" s="16"/>
    </row>
    <row r="26" spans="1:53" ht="17.25" customHeight="1" x14ac:dyDescent="0.25">
      <c r="A26" s="78">
        <v>23</v>
      </c>
      <c r="B26" s="80" t="s">
        <v>119</v>
      </c>
      <c r="C26" s="214" t="s">
        <v>102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R26" s="14">
        <f t="shared" si="10"/>
        <v>0</v>
      </c>
      <c r="AS26" s="14">
        <f t="shared" si="11"/>
        <v>0</v>
      </c>
      <c r="AT26" s="14">
        <f t="shared" si="12"/>
        <v>0</v>
      </c>
      <c r="AU26" s="14">
        <f t="shared" si="13"/>
        <v>0</v>
      </c>
      <c r="AV26" s="15">
        <f t="shared" si="14"/>
        <v>0</v>
      </c>
      <c r="AW26" s="14">
        <f t="shared" si="15"/>
        <v>0</v>
      </c>
      <c r="AX26" s="14">
        <f t="shared" si="16"/>
        <v>0</v>
      </c>
      <c r="AY26" s="14">
        <f t="shared" si="17"/>
        <v>0</v>
      </c>
      <c r="AZ26" s="14">
        <f t="shared" si="18"/>
        <v>0</v>
      </c>
      <c r="BA26" s="16">
        <f t="shared" si="19"/>
        <v>0</v>
      </c>
    </row>
    <row r="27" spans="1:53" ht="17.25" customHeight="1" x14ac:dyDescent="0.25">
      <c r="A27" s="77">
        <v>24</v>
      </c>
      <c r="B27" s="80" t="s">
        <v>120</v>
      </c>
      <c r="C27" s="214" t="s">
        <v>102</v>
      </c>
      <c r="D27" s="87">
        <v>0</v>
      </c>
      <c r="E27" s="87">
        <v>44568</v>
      </c>
      <c r="F27" s="87">
        <v>2480</v>
      </c>
      <c r="G27" s="87">
        <v>1821</v>
      </c>
      <c r="H27" s="87">
        <v>1787</v>
      </c>
      <c r="I27" s="87">
        <v>3326</v>
      </c>
      <c r="J27" s="87">
        <v>382</v>
      </c>
      <c r="K27" s="87">
        <v>1609</v>
      </c>
      <c r="L27" s="87">
        <v>1062</v>
      </c>
      <c r="M27" s="87">
        <v>1570</v>
      </c>
      <c r="N27" s="87">
        <v>2050</v>
      </c>
      <c r="O27" s="87">
        <v>1123</v>
      </c>
      <c r="P27" s="87">
        <v>1823</v>
      </c>
      <c r="Q27" s="87">
        <v>2944</v>
      </c>
      <c r="R27" s="87">
        <v>3125</v>
      </c>
      <c r="S27" s="87">
        <v>1100</v>
      </c>
      <c r="T27" s="87">
        <v>2864</v>
      </c>
      <c r="U27" s="87">
        <v>1691</v>
      </c>
      <c r="V27" s="87">
        <v>13842</v>
      </c>
      <c r="W27" s="87">
        <v>1817</v>
      </c>
      <c r="X27" s="87">
        <v>1827</v>
      </c>
      <c r="Y27" s="87">
        <v>1504</v>
      </c>
      <c r="Z27" s="87">
        <v>3818</v>
      </c>
      <c r="AA27" s="87">
        <v>4713</v>
      </c>
      <c r="AB27" s="87">
        <v>936</v>
      </c>
      <c r="AC27" s="87">
        <v>1606</v>
      </c>
      <c r="AD27" s="87">
        <v>1251</v>
      </c>
      <c r="AE27" s="87">
        <v>1197</v>
      </c>
      <c r="AF27" s="87">
        <v>6389</v>
      </c>
      <c r="AG27" s="87">
        <v>924</v>
      </c>
      <c r="AH27" s="87">
        <v>1315</v>
      </c>
      <c r="AI27" s="87">
        <v>4183</v>
      </c>
      <c r="AJ27" s="87">
        <v>468</v>
      </c>
      <c r="AK27" s="87">
        <v>1741</v>
      </c>
      <c r="AL27" s="87">
        <v>705</v>
      </c>
      <c r="AM27" s="87">
        <v>5308</v>
      </c>
      <c r="AN27" s="87">
        <v>920</v>
      </c>
      <c r="AO27" s="87">
        <v>977</v>
      </c>
      <c r="AP27" s="87">
        <v>2111</v>
      </c>
      <c r="AR27" s="14">
        <f t="shared" si="10"/>
        <v>0</v>
      </c>
      <c r="AS27" s="14">
        <f t="shared" si="11"/>
        <v>58605</v>
      </c>
      <c r="AT27" s="14">
        <f t="shared" si="12"/>
        <v>4996</v>
      </c>
      <c r="AU27" s="14">
        <f t="shared" si="13"/>
        <v>10033</v>
      </c>
      <c r="AV27" s="15">
        <f t="shared" si="14"/>
        <v>24499</v>
      </c>
      <c r="AW27" s="14">
        <f t="shared" si="15"/>
        <v>9703</v>
      </c>
      <c r="AX27" s="14">
        <f t="shared" si="16"/>
        <v>8628</v>
      </c>
      <c r="AY27" s="14">
        <f t="shared" si="17"/>
        <v>7097</v>
      </c>
      <c r="AZ27" s="14">
        <f t="shared" si="18"/>
        <v>9316</v>
      </c>
      <c r="BA27" s="16">
        <f t="shared" si="19"/>
        <v>132877</v>
      </c>
    </row>
    <row r="28" spans="1:53" s="48" customFormat="1" ht="17.25" customHeight="1" x14ac:dyDescent="0.25">
      <c r="A28" s="77">
        <v>25</v>
      </c>
      <c r="B28" s="80" t="s">
        <v>308</v>
      </c>
      <c r="C28" s="214" t="s">
        <v>102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6"/>
      <c r="AR28" s="14"/>
      <c r="AS28" s="14"/>
      <c r="AT28" s="14"/>
      <c r="AU28" s="14"/>
      <c r="AV28" s="15"/>
      <c r="AW28" s="14"/>
      <c r="AX28" s="14"/>
      <c r="AY28" s="14"/>
      <c r="AZ28" s="14"/>
      <c r="BA28" s="16"/>
    </row>
    <row r="29" spans="1:53" s="48" customFormat="1" ht="17.25" customHeight="1" x14ac:dyDescent="0.25">
      <c r="A29" s="77">
        <v>26</v>
      </c>
      <c r="B29" s="80" t="s">
        <v>309</v>
      </c>
      <c r="C29" s="214" t="s">
        <v>102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6"/>
      <c r="AR29" s="14"/>
      <c r="AS29" s="14"/>
      <c r="AT29" s="14"/>
      <c r="AU29" s="14"/>
      <c r="AV29" s="15"/>
      <c r="AW29" s="14"/>
      <c r="AX29" s="14"/>
      <c r="AY29" s="14"/>
      <c r="AZ29" s="14"/>
      <c r="BA29" s="16"/>
    </row>
    <row r="30" spans="1:53" x14ac:dyDescent="0.25">
      <c r="A30" s="77">
        <v>27</v>
      </c>
      <c r="B30" s="81" t="s">
        <v>156</v>
      </c>
      <c r="C30" s="215" t="s">
        <v>122</v>
      </c>
      <c r="D30" s="86"/>
      <c r="E30" s="88">
        <v>40</v>
      </c>
      <c r="F30" s="88">
        <v>2</v>
      </c>
      <c r="G30" s="88">
        <v>2</v>
      </c>
      <c r="H30" s="88">
        <v>2</v>
      </c>
      <c r="I30" s="88">
        <v>2</v>
      </c>
      <c r="J30" s="88">
        <v>2</v>
      </c>
      <c r="K30" s="88">
        <v>2</v>
      </c>
      <c r="L30" s="88">
        <v>2</v>
      </c>
      <c r="M30" s="88">
        <v>2</v>
      </c>
      <c r="N30" s="88">
        <v>5</v>
      </c>
      <c r="O30" s="88">
        <v>3</v>
      </c>
      <c r="P30" s="88">
        <v>3</v>
      </c>
      <c r="Q30" s="88">
        <v>3</v>
      </c>
      <c r="R30" s="88">
        <v>3</v>
      </c>
      <c r="S30" s="88">
        <v>3</v>
      </c>
      <c r="T30" s="88">
        <v>3</v>
      </c>
      <c r="U30" s="88">
        <v>3</v>
      </c>
      <c r="V30" s="88">
        <v>10</v>
      </c>
      <c r="W30" s="88">
        <v>3</v>
      </c>
      <c r="X30" s="88">
        <v>3</v>
      </c>
      <c r="Y30" s="88">
        <v>3</v>
      </c>
      <c r="Z30" s="88">
        <v>3</v>
      </c>
      <c r="AA30" s="88">
        <v>4</v>
      </c>
      <c r="AB30" s="88">
        <v>2</v>
      </c>
      <c r="AC30" s="88">
        <v>2</v>
      </c>
      <c r="AD30" s="88">
        <v>2</v>
      </c>
      <c r="AE30" s="88">
        <v>2</v>
      </c>
      <c r="AF30" s="88">
        <v>3</v>
      </c>
      <c r="AG30" s="88">
        <v>2</v>
      </c>
      <c r="AH30" s="88">
        <v>2</v>
      </c>
      <c r="AI30" s="88">
        <v>4</v>
      </c>
      <c r="AJ30" s="88">
        <v>1</v>
      </c>
      <c r="AK30" s="88">
        <v>2</v>
      </c>
      <c r="AL30" s="88">
        <v>2</v>
      </c>
      <c r="AM30" s="88">
        <v>4</v>
      </c>
      <c r="AN30" s="88">
        <v>1</v>
      </c>
      <c r="AO30" s="88">
        <v>1</v>
      </c>
      <c r="AP30" s="88">
        <v>1</v>
      </c>
      <c r="AR30" s="14">
        <f t="shared" ref="AR30:AR37" si="29">SUM(D30)</f>
        <v>0</v>
      </c>
      <c r="AS30" s="14">
        <f t="shared" ref="AS30:AS37" si="30">+SUM(E30:M30)</f>
        <v>56</v>
      </c>
      <c r="AT30" s="14">
        <f t="shared" ref="AT30:AT37" si="31">+SUM(N30:P30)</f>
        <v>11</v>
      </c>
      <c r="AU30" s="14">
        <f t="shared" ref="AU30:AU37" si="32">+SUM(Q30:T30)</f>
        <v>12</v>
      </c>
      <c r="AV30" s="15">
        <f t="shared" ref="AV30:AV37" si="33">+SUM(U30:Z30)</f>
        <v>25</v>
      </c>
      <c r="AW30" s="14">
        <f t="shared" ref="AW30:AW37" si="34">+SUM(AA30:AE30)</f>
        <v>12</v>
      </c>
      <c r="AX30" s="14">
        <f t="shared" ref="AX30:AX37" si="35">+SUM(AF30:AH30)</f>
        <v>7</v>
      </c>
      <c r="AY30" s="14">
        <f t="shared" ref="AY30:AY37" si="36">+SUM(AI30:AL30)</f>
        <v>9</v>
      </c>
      <c r="AZ30" s="14">
        <f t="shared" ref="AZ30:AZ37" si="37">+SUM(AM30:AP30)</f>
        <v>7</v>
      </c>
      <c r="BA30" s="16">
        <f t="shared" ref="BA30:BA37" si="38">SUM(AR30:AZ30)</f>
        <v>139</v>
      </c>
    </row>
    <row r="31" spans="1:53" x14ac:dyDescent="0.25">
      <c r="A31" s="77">
        <v>28</v>
      </c>
      <c r="B31" s="81" t="s">
        <v>157</v>
      </c>
      <c r="C31" s="215" t="s">
        <v>122</v>
      </c>
      <c r="D31" s="86"/>
      <c r="E31" s="88">
        <v>40</v>
      </c>
      <c r="F31" s="88">
        <v>2</v>
      </c>
      <c r="G31" s="88">
        <v>2</v>
      </c>
      <c r="H31" s="88">
        <v>2</v>
      </c>
      <c r="I31" s="88">
        <v>2</v>
      </c>
      <c r="J31" s="88">
        <v>2</v>
      </c>
      <c r="K31" s="88">
        <v>2</v>
      </c>
      <c r="L31" s="88">
        <v>2</v>
      </c>
      <c r="M31" s="88">
        <v>2</v>
      </c>
      <c r="N31" s="88">
        <v>5</v>
      </c>
      <c r="O31" s="88">
        <v>3</v>
      </c>
      <c r="P31" s="88">
        <v>3</v>
      </c>
      <c r="Q31" s="88">
        <v>3</v>
      </c>
      <c r="R31" s="88">
        <v>3</v>
      </c>
      <c r="S31" s="88">
        <v>3</v>
      </c>
      <c r="T31" s="88">
        <v>3</v>
      </c>
      <c r="U31" s="88">
        <v>3</v>
      </c>
      <c r="V31" s="88">
        <v>10</v>
      </c>
      <c r="W31" s="88">
        <v>3</v>
      </c>
      <c r="X31" s="88">
        <v>3</v>
      </c>
      <c r="Y31" s="88">
        <v>3</v>
      </c>
      <c r="Z31" s="88">
        <v>3</v>
      </c>
      <c r="AA31" s="88">
        <v>4</v>
      </c>
      <c r="AB31" s="88">
        <v>2</v>
      </c>
      <c r="AC31" s="88">
        <v>2</v>
      </c>
      <c r="AD31" s="88">
        <v>2</v>
      </c>
      <c r="AE31" s="88">
        <v>2</v>
      </c>
      <c r="AF31" s="88">
        <v>3</v>
      </c>
      <c r="AG31" s="88">
        <v>2</v>
      </c>
      <c r="AH31" s="88">
        <v>2</v>
      </c>
      <c r="AI31" s="88">
        <v>4</v>
      </c>
      <c r="AJ31" s="88">
        <v>1</v>
      </c>
      <c r="AK31" s="88">
        <v>2</v>
      </c>
      <c r="AL31" s="88">
        <v>2</v>
      </c>
      <c r="AM31" s="88">
        <v>4</v>
      </c>
      <c r="AN31" s="88">
        <v>1</v>
      </c>
      <c r="AO31" s="88">
        <v>1</v>
      </c>
      <c r="AP31" s="88">
        <v>1</v>
      </c>
      <c r="AR31" s="14">
        <f t="shared" si="29"/>
        <v>0</v>
      </c>
      <c r="AS31" s="14">
        <f t="shared" si="30"/>
        <v>56</v>
      </c>
      <c r="AT31" s="14">
        <f t="shared" si="31"/>
        <v>11</v>
      </c>
      <c r="AU31" s="14">
        <f t="shared" si="32"/>
        <v>12</v>
      </c>
      <c r="AV31" s="15">
        <f t="shared" si="33"/>
        <v>25</v>
      </c>
      <c r="AW31" s="14">
        <f t="shared" si="34"/>
        <v>12</v>
      </c>
      <c r="AX31" s="14">
        <f t="shared" si="35"/>
        <v>7</v>
      </c>
      <c r="AY31" s="14">
        <f t="shared" si="36"/>
        <v>9</v>
      </c>
      <c r="AZ31" s="14">
        <f t="shared" si="37"/>
        <v>7</v>
      </c>
      <c r="BA31" s="16">
        <f t="shared" si="38"/>
        <v>139</v>
      </c>
    </row>
    <row r="32" spans="1:53" x14ac:dyDescent="0.25">
      <c r="A32" s="77">
        <v>29</v>
      </c>
      <c r="B32" s="81" t="s">
        <v>158</v>
      </c>
      <c r="C32" s="215" t="s">
        <v>122</v>
      </c>
      <c r="D32" s="86"/>
      <c r="E32" s="88">
        <v>20</v>
      </c>
      <c r="F32" s="88">
        <v>1</v>
      </c>
      <c r="G32" s="88">
        <v>1</v>
      </c>
      <c r="H32" s="88">
        <v>1</v>
      </c>
      <c r="I32" s="88">
        <v>1</v>
      </c>
      <c r="J32" s="88">
        <v>1</v>
      </c>
      <c r="K32" s="88">
        <v>1</v>
      </c>
      <c r="L32" s="88">
        <v>1</v>
      </c>
      <c r="M32" s="88">
        <v>1</v>
      </c>
      <c r="N32" s="88">
        <v>2</v>
      </c>
      <c r="O32" s="88">
        <v>1</v>
      </c>
      <c r="P32" s="88">
        <v>1</v>
      </c>
      <c r="Q32" s="88">
        <v>1</v>
      </c>
      <c r="R32" s="88">
        <v>1</v>
      </c>
      <c r="S32" s="88">
        <v>1</v>
      </c>
      <c r="T32" s="88">
        <v>1</v>
      </c>
      <c r="U32" s="88">
        <v>1</v>
      </c>
      <c r="V32" s="88">
        <v>2</v>
      </c>
      <c r="W32" s="88">
        <v>1</v>
      </c>
      <c r="X32" s="88">
        <v>1</v>
      </c>
      <c r="Y32" s="88">
        <v>1</v>
      </c>
      <c r="Z32" s="88">
        <v>1</v>
      </c>
      <c r="AA32" s="88">
        <v>2</v>
      </c>
      <c r="AB32" s="88">
        <v>1</v>
      </c>
      <c r="AC32" s="88">
        <v>1</v>
      </c>
      <c r="AD32" s="88">
        <v>1</v>
      </c>
      <c r="AE32" s="88">
        <v>1</v>
      </c>
      <c r="AF32" s="88">
        <v>1</v>
      </c>
      <c r="AG32" s="88">
        <v>1</v>
      </c>
      <c r="AH32" s="88">
        <v>1</v>
      </c>
      <c r="AI32" s="88">
        <v>2</v>
      </c>
      <c r="AJ32" s="88">
        <v>1</v>
      </c>
      <c r="AK32" s="88">
        <v>1</v>
      </c>
      <c r="AL32" s="88">
        <v>1</v>
      </c>
      <c r="AM32" s="88">
        <v>2</v>
      </c>
      <c r="AN32" s="88">
        <v>1</v>
      </c>
      <c r="AO32" s="88">
        <v>1</v>
      </c>
      <c r="AP32" s="88">
        <v>1</v>
      </c>
      <c r="AR32" s="14">
        <f t="shared" si="29"/>
        <v>0</v>
      </c>
      <c r="AS32" s="14">
        <f t="shared" si="30"/>
        <v>28</v>
      </c>
      <c r="AT32" s="14">
        <f t="shared" si="31"/>
        <v>4</v>
      </c>
      <c r="AU32" s="14">
        <f t="shared" si="32"/>
        <v>4</v>
      </c>
      <c r="AV32" s="15">
        <f t="shared" si="33"/>
        <v>7</v>
      </c>
      <c r="AW32" s="14">
        <f t="shared" si="34"/>
        <v>6</v>
      </c>
      <c r="AX32" s="14">
        <f t="shared" si="35"/>
        <v>3</v>
      </c>
      <c r="AY32" s="14">
        <f t="shared" si="36"/>
        <v>5</v>
      </c>
      <c r="AZ32" s="14">
        <f t="shared" si="37"/>
        <v>5</v>
      </c>
      <c r="BA32" s="16">
        <f t="shared" si="38"/>
        <v>62</v>
      </c>
    </row>
    <row r="33" spans="1:53" x14ac:dyDescent="0.25">
      <c r="A33" s="77">
        <v>30</v>
      </c>
      <c r="B33" s="81" t="s">
        <v>159</v>
      </c>
      <c r="C33" s="215" t="s">
        <v>122</v>
      </c>
      <c r="D33" s="86"/>
      <c r="E33" s="88">
        <v>10</v>
      </c>
      <c r="F33" s="88">
        <v>1</v>
      </c>
      <c r="G33" s="88">
        <v>1</v>
      </c>
      <c r="H33" s="88">
        <v>1</v>
      </c>
      <c r="I33" s="88">
        <v>1</v>
      </c>
      <c r="J33" s="88">
        <v>1</v>
      </c>
      <c r="K33" s="88">
        <v>1</v>
      </c>
      <c r="L33" s="88">
        <v>1</v>
      </c>
      <c r="M33" s="88">
        <v>1</v>
      </c>
      <c r="N33" s="88">
        <v>4</v>
      </c>
      <c r="O33" s="88">
        <v>1</v>
      </c>
      <c r="P33" s="88">
        <v>1</v>
      </c>
      <c r="Q33" s="88">
        <v>4</v>
      </c>
      <c r="R33" s="88">
        <v>1</v>
      </c>
      <c r="S33" s="88">
        <v>1</v>
      </c>
      <c r="T33" s="88">
        <v>1</v>
      </c>
      <c r="U33" s="88">
        <v>1</v>
      </c>
      <c r="V33" s="88">
        <v>8</v>
      </c>
      <c r="W33" s="88">
        <v>1</v>
      </c>
      <c r="X33" s="88">
        <v>1</v>
      </c>
      <c r="Y33" s="88">
        <v>1</v>
      </c>
      <c r="Z33" s="88">
        <v>1</v>
      </c>
      <c r="AA33" s="88">
        <v>4</v>
      </c>
      <c r="AB33" s="88">
        <v>1</v>
      </c>
      <c r="AC33" s="88">
        <v>1</v>
      </c>
      <c r="AD33" s="88">
        <v>1</v>
      </c>
      <c r="AE33" s="88">
        <v>1</v>
      </c>
      <c r="AF33" s="88">
        <v>4</v>
      </c>
      <c r="AG33" s="88">
        <v>1</v>
      </c>
      <c r="AH33" s="88">
        <v>1</v>
      </c>
      <c r="AI33" s="88">
        <v>4</v>
      </c>
      <c r="AJ33" s="88">
        <v>1</v>
      </c>
      <c r="AK33" s="88">
        <v>1</v>
      </c>
      <c r="AL33" s="88">
        <v>1</v>
      </c>
      <c r="AM33" s="88">
        <v>4</v>
      </c>
      <c r="AN33" s="88">
        <v>1</v>
      </c>
      <c r="AO33" s="88">
        <v>1</v>
      </c>
      <c r="AP33" s="88">
        <v>1</v>
      </c>
      <c r="AR33" s="14">
        <f t="shared" si="29"/>
        <v>0</v>
      </c>
      <c r="AS33" s="14">
        <f t="shared" si="30"/>
        <v>18</v>
      </c>
      <c r="AT33" s="14">
        <f t="shared" si="31"/>
        <v>6</v>
      </c>
      <c r="AU33" s="14">
        <f t="shared" si="32"/>
        <v>7</v>
      </c>
      <c r="AV33" s="15">
        <f t="shared" si="33"/>
        <v>13</v>
      </c>
      <c r="AW33" s="14">
        <f t="shared" si="34"/>
        <v>8</v>
      </c>
      <c r="AX33" s="14">
        <f t="shared" si="35"/>
        <v>6</v>
      </c>
      <c r="AY33" s="14">
        <f t="shared" si="36"/>
        <v>7</v>
      </c>
      <c r="AZ33" s="14">
        <f t="shared" si="37"/>
        <v>7</v>
      </c>
      <c r="BA33" s="16">
        <f t="shared" si="38"/>
        <v>72</v>
      </c>
    </row>
    <row r="34" spans="1:53" x14ac:dyDescent="0.25">
      <c r="A34" s="77">
        <v>31</v>
      </c>
      <c r="B34" s="81" t="s">
        <v>160</v>
      </c>
      <c r="C34" s="215" t="s">
        <v>122</v>
      </c>
      <c r="D34" s="86"/>
      <c r="E34" s="89">
        <v>3601</v>
      </c>
      <c r="F34" s="88">
        <v>201</v>
      </c>
      <c r="G34" s="88">
        <v>147</v>
      </c>
      <c r="H34" s="88">
        <v>145</v>
      </c>
      <c r="I34" s="88">
        <v>269</v>
      </c>
      <c r="J34" s="88">
        <v>39</v>
      </c>
      <c r="K34" s="88">
        <v>130</v>
      </c>
      <c r="L34" s="88">
        <v>86</v>
      </c>
      <c r="M34" s="88">
        <v>127</v>
      </c>
      <c r="N34" s="88">
        <v>211</v>
      </c>
      <c r="O34" s="88">
        <v>116</v>
      </c>
      <c r="P34" s="88">
        <v>188</v>
      </c>
      <c r="Q34" s="88">
        <v>470</v>
      </c>
      <c r="R34" s="88">
        <v>253</v>
      </c>
      <c r="S34" s="88">
        <v>90</v>
      </c>
      <c r="T34" s="88">
        <v>23</v>
      </c>
      <c r="U34" s="88">
        <v>239</v>
      </c>
      <c r="V34" s="88">
        <v>2600</v>
      </c>
      <c r="W34" s="88">
        <v>341</v>
      </c>
      <c r="X34" s="88">
        <v>343</v>
      </c>
      <c r="Y34" s="88">
        <v>282</v>
      </c>
      <c r="Z34" s="88">
        <v>717</v>
      </c>
      <c r="AA34" s="88">
        <v>484</v>
      </c>
      <c r="AB34" s="88">
        <v>96</v>
      </c>
      <c r="AC34" s="88">
        <v>166</v>
      </c>
      <c r="AD34" s="88">
        <v>129</v>
      </c>
      <c r="AE34" s="88">
        <v>123</v>
      </c>
      <c r="AF34" s="88">
        <v>682</v>
      </c>
      <c r="AG34" s="88">
        <v>99</v>
      </c>
      <c r="AH34" s="88">
        <v>140</v>
      </c>
      <c r="AI34" s="88">
        <v>451</v>
      </c>
      <c r="AJ34" s="88">
        <v>48</v>
      </c>
      <c r="AK34" s="88">
        <v>141</v>
      </c>
      <c r="AL34" s="88">
        <v>76</v>
      </c>
      <c r="AM34" s="88">
        <v>429</v>
      </c>
      <c r="AN34" s="88">
        <v>74</v>
      </c>
      <c r="AO34" s="88">
        <v>79</v>
      </c>
      <c r="AP34" s="88">
        <v>170</v>
      </c>
      <c r="AR34" s="14">
        <f t="shared" si="29"/>
        <v>0</v>
      </c>
      <c r="AS34" s="14">
        <f t="shared" si="30"/>
        <v>4745</v>
      </c>
      <c r="AT34" s="14">
        <f t="shared" si="31"/>
        <v>515</v>
      </c>
      <c r="AU34" s="14">
        <f t="shared" si="32"/>
        <v>836</v>
      </c>
      <c r="AV34" s="15">
        <f t="shared" si="33"/>
        <v>4522</v>
      </c>
      <c r="AW34" s="14">
        <f t="shared" si="34"/>
        <v>998</v>
      </c>
      <c r="AX34" s="14">
        <f t="shared" si="35"/>
        <v>921</v>
      </c>
      <c r="AY34" s="14">
        <f t="shared" si="36"/>
        <v>716</v>
      </c>
      <c r="AZ34" s="14">
        <f t="shared" si="37"/>
        <v>752</v>
      </c>
      <c r="BA34" s="16">
        <f t="shared" si="38"/>
        <v>14005</v>
      </c>
    </row>
    <row r="35" spans="1:53" x14ac:dyDescent="0.25">
      <c r="A35" s="77">
        <v>32</v>
      </c>
      <c r="B35" s="81" t="s">
        <v>161</v>
      </c>
      <c r="C35" s="215" t="s">
        <v>122</v>
      </c>
      <c r="D35" s="86"/>
      <c r="E35" s="88">
        <v>10</v>
      </c>
      <c r="F35" s="88">
        <v>1</v>
      </c>
      <c r="G35" s="88">
        <v>1</v>
      </c>
      <c r="H35" s="88">
        <v>1</v>
      </c>
      <c r="I35" s="88">
        <v>1</v>
      </c>
      <c r="J35" s="88">
        <v>1</v>
      </c>
      <c r="K35" s="88">
        <v>1</v>
      </c>
      <c r="L35" s="88">
        <v>1</v>
      </c>
      <c r="M35" s="88">
        <v>1</v>
      </c>
      <c r="N35" s="88">
        <v>3</v>
      </c>
      <c r="O35" s="88">
        <v>1</v>
      </c>
      <c r="P35" s="88">
        <v>1</v>
      </c>
      <c r="Q35" s="88">
        <v>1</v>
      </c>
      <c r="R35" s="88">
        <v>1</v>
      </c>
      <c r="S35" s="88">
        <v>1</v>
      </c>
      <c r="T35" s="88">
        <v>1</v>
      </c>
      <c r="U35" s="88">
        <v>1</v>
      </c>
      <c r="V35" s="88">
        <v>8</v>
      </c>
      <c r="W35" s="88">
        <v>1</v>
      </c>
      <c r="X35" s="88">
        <v>1</v>
      </c>
      <c r="Y35" s="88">
        <v>1</v>
      </c>
      <c r="Z35" s="88">
        <v>1</v>
      </c>
      <c r="AA35" s="88">
        <v>4</v>
      </c>
      <c r="AB35" s="88">
        <v>1</v>
      </c>
      <c r="AC35" s="88">
        <v>1</v>
      </c>
      <c r="AD35" s="88">
        <v>1</v>
      </c>
      <c r="AE35" s="88">
        <v>1</v>
      </c>
      <c r="AF35" s="88">
        <v>4</v>
      </c>
      <c r="AG35" s="88">
        <v>1</v>
      </c>
      <c r="AH35" s="88">
        <v>1</v>
      </c>
      <c r="AI35" s="88">
        <v>4</v>
      </c>
      <c r="AJ35" s="88">
        <v>1</v>
      </c>
      <c r="AK35" s="88">
        <v>1</v>
      </c>
      <c r="AL35" s="88">
        <v>1</v>
      </c>
      <c r="AM35" s="88">
        <v>4</v>
      </c>
      <c r="AN35" s="88">
        <v>1</v>
      </c>
      <c r="AO35" s="88">
        <v>1</v>
      </c>
      <c r="AP35" s="88">
        <v>1</v>
      </c>
      <c r="AR35" s="14">
        <f t="shared" si="29"/>
        <v>0</v>
      </c>
      <c r="AS35" s="14">
        <f t="shared" si="30"/>
        <v>18</v>
      </c>
      <c r="AT35" s="14">
        <f t="shared" si="31"/>
        <v>5</v>
      </c>
      <c r="AU35" s="14">
        <f t="shared" si="32"/>
        <v>4</v>
      </c>
      <c r="AV35" s="15">
        <f t="shared" si="33"/>
        <v>13</v>
      </c>
      <c r="AW35" s="14">
        <f t="shared" si="34"/>
        <v>8</v>
      </c>
      <c r="AX35" s="14">
        <f t="shared" si="35"/>
        <v>6</v>
      </c>
      <c r="AY35" s="14">
        <f t="shared" si="36"/>
        <v>7</v>
      </c>
      <c r="AZ35" s="14">
        <f t="shared" si="37"/>
        <v>7</v>
      </c>
      <c r="BA35" s="16">
        <f t="shared" si="38"/>
        <v>68</v>
      </c>
    </row>
    <row r="36" spans="1:53" x14ac:dyDescent="0.25">
      <c r="A36" s="77">
        <v>33</v>
      </c>
      <c r="B36" s="81" t="s">
        <v>162</v>
      </c>
      <c r="C36" s="215" t="s">
        <v>122</v>
      </c>
      <c r="D36" s="86"/>
      <c r="E36" s="88">
        <v>40</v>
      </c>
      <c r="F36" s="88">
        <v>2</v>
      </c>
      <c r="G36" s="88">
        <v>2</v>
      </c>
      <c r="H36" s="88">
        <v>2</v>
      </c>
      <c r="I36" s="88">
        <v>2</v>
      </c>
      <c r="J36" s="88">
        <v>2</v>
      </c>
      <c r="K36" s="88">
        <v>2</v>
      </c>
      <c r="L36" s="88">
        <v>2</v>
      </c>
      <c r="M36" s="88">
        <v>2</v>
      </c>
      <c r="N36" s="88">
        <v>2</v>
      </c>
      <c r="O36" s="88">
        <v>3</v>
      </c>
      <c r="P36" s="88">
        <v>3</v>
      </c>
      <c r="Q36" s="88">
        <v>3</v>
      </c>
      <c r="R36" s="88">
        <v>3</v>
      </c>
      <c r="S36" s="88">
        <v>3</v>
      </c>
      <c r="T36" s="88">
        <v>3</v>
      </c>
      <c r="U36" s="88">
        <v>3</v>
      </c>
      <c r="V36" s="88">
        <v>10</v>
      </c>
      <c r="W36" s="88">
        <v>3</v>
      </c>
      <c r="X36" s="88">
        <v>3</v>
      </c>
      <c r="Y36" s="88">
        <v>3</v>
      </c>
      <c r="Z36" s="88">
        <v>3</v>
      </c>
      <c r="AA36" s="88">
        <v>4</v>
      </c>
      <c r="AB36" s="88">
        <v>2</v>
      </c>
      <c r="AC36" s="88">
        <v>2</v>
      </c>
      <c r="AD36" s="88">
        <v>2</v>
      </c>
      <c r="AE36" s="88">
        <v>2</v>
      </c>
      <c r="AF36" s="88">
        <v>3</v>
      </c>
      <c r="AG36" s="88">
        <v>2</v>
      </c>
      <c r="AH36" s="88">
        <v>4</v>
      </c>
      <c r="AI36" s="88">
        <v>1</v>
      </c>
      <c r="AJ36" s="88">
        <v>2</v>
      </c>
      <c r="AK36" s="88">
        <v>2</v>
      </c>
      <c r="AL36" s="88">
        <v>4</v>
      </c>
      <c r="AM36" s="88">
        <v>1</v>
      </c>
      <c r="AN36" s="88">
        <v>1</v>
      </c>
      <c r="AO36" s="88">
        <v>1</v>
      </c>
      <c r="AP36" s="88">
        <v>1</v>
      </c>
      <c r="AR36" s="14">
        <f t="shared" si="29"/>
        <v>0</v>
      </c>
      <c r="AS36" s="14">
        <f t="shared" si="30"/>
        <v>56</v>
      </c>
      <c r="AT36" s="14">
        <f t="shared" si="31"/>
        <v>8</v>
      </c>
      <c r="AU36" s="14">
        <f t="shared" si="32"/>
        <v>12</v>
      </c>
      <c r="AV36" s="15">
        <f t="shared" si="33"/>
        <v>25</v>
      </c>
      <c r="AW36" s="14">
        <f t="shared" si="34"/>
        <v>12</v>
      </c>
      <c r="AX36" s="14">
        <f t="shared" si="35"/>
        <v>9</v>
      </c>
      <c r="AY36" s="14">
        <f t="shared" si="36"/>
        <v>9</v>
      </c>
      <c r="AZ36" s="14">
        <f t="shared" si="37"/>
        <v>4</v>
      </c>
      <c r="BA36" s="16">
        <f t="shared" si="38"/>
        <v>135</v>
      </c>
    </row>
    <row r="37" spans="1:53" x14ac:dyDescent="0.25">
      <c r="A37" s="77">
        <v>34</v>
      </c>
      <c r="B37" s="81" t="s">
        <v>163</v>
      </c>
      <c r="C37" s="215" t="s">
        <v>122</v>
      </c>
      <c r="D37" s="86"/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  <c r="R37" s="88">
        <v>0</v>
      </c>
      <c r="S37" s="88">
        <v>0</v>
      </c>
      <c r="T37" s="88">
        <v>0</v>
      </c>
      <c r="U37" s="88">
        <v>0</v>
      </c>
      <c r="V37" s="88">
        <v>0</v>
      </c>
      <c r="W37" s="88">
        <v>0</v>
      </c>
      <c r="X37" s="88">
        <v>0</v>
      </c>
      <c r="Y37" s="88">
        <v>0</v>
      </c>
      <c r="Z37" s="88">
        <v>0</v>
      </c>
      <c r="AA37" s="88">
        <v>0</v>
      </c>
      <c r="AB37" s="88">
        <v>0</v>
      </c>
      <c r="AC37" s="88">
        <v>0</v>
      </c>
      <c r="AD37" s="88">
        <v>0</v>
      </c>
      <c r="AE37" s="88">
        <v>0</v>
      </c>
      <c r="AF37" s="88">
        <v>0</v>
      </c>
      <c r="AG37" s="88">
        <v>0</v>
      </c>
      <c r="AH37" s="88">
        <v>0</v>
      </c>
      <c r="AI37" s="88">
        <v>0</v>
      </c>
      <c r="AJ37" s="88">
        <v>0</v>
      </c>
      <c r="AK37" s="88">
        <v>0</v>
      </c>
      <c r="AL37" s="88">
        <v>0</v>
      </c>
      <c r="AM37" s="88">
        <v>0</v>
      </c>
      <c r="AN37" s="88">
        <v>0</v>
      </c>
      <c r="AO37" s="88">
        <v>0</v>
      </c>
      <c r="AP37" s="88">
        <v>0</v>
      </c>
      <c r="AR37" s="14">
        <f t="shared" si="29"/>
        <v>0</v>
      </c>
      <c r="AS37" s="14">
        <f t="shared" si="30"/>
        <v>0</v>
      </c>
      <c r="AT37" s="14">
        <f t="shared" si="31"/>
        <v>0</v>
      </c>
      <c r="AU37" s="14">
        <f t="shared" si="32"/>
        <v>0</v>
      </c>
      <c r="AV37" s="15">
        <f t="shared" si="33"/>
        <v>0</v>
      </c>
      <c r="AW37" s="14">
        <f t="shared" si="34"/>
        <v>0</v>
      </c>
      <c r="AX37" s="14">
        <f t="shared" si="35"/>
        <v>0</v>
      </c>
      <c r="AY37" s="14">
        <f t="shared" si="36"/>
        <v>0</v>
      </c>
      <c r="AZ37" s="14">
        <f t="shared" si="37"/>
        <v>0</v>
      </c>
      <c r="BA37" s="16">
        <f t="shared" si="38"/>
        <v>0</v>
      </c>
    </row>
    <row r="38" spans="1:53" x14ac:dyDescent="0.25">
      <c r="A38" s="77">
        <v>35</v>
      </c>
      <c r="B38" s="76" t="s">
        <v>123</v>
      </c>
      <c r="C38" s="214" t="s">
        <v>124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R38" s="14">
        <f t="shared" ref="AR38:AR43" si="39">SUM(D38)</f>
        <v>0</v>
      </c>
      <c r="AS38" s="14">
        <f t="shared" ref="AS38:AS43" si="40">+SUM(E38:M38)</f>
        <v>0</v>
      </c>
      <c r="AT38" s="14">
        <f t="shared" ref="AT38:AT43" si="41">+SUM(N38:P38)</f>
        <v>0</v>
      </c>
      <c r="AU38" s="14">
        <f t="shared" ref="AU38:AU43" si="42">+SUM(Q38:T38)</f>
        <v>0</v>
      </c>
      <c r="AV38" s="15">
        <f t="shared" ref="AV38:AV43" si="43">+SUM(U38:Z38)</f>
        <v>0</v>
      </c>
      <c r="AW38" s="14">
        <f t="shared" ref="AW38:AW43" si="44">+SUM(AA38:AE38)</f>
        <v>0</v>
      </c>
      <c r="AX38" s="14">
        <f t="shared" ref="AX38:AX43" si="45">+SUM(AF38:AH38)</f>
        <v>0</v>
      </c>
      <c r="AY38" s="14">
        <f t="shared" ref="AY38:AY43" si="46">+SUM(AI38:AL38)</f>
        <v>0</v>
      </c>
      <c r="AZ38" s="14">
        <f t="shared" ref="AZ38:AZ43" si="47">+SUM(AM38:AP38)</f>
        <v>0</v>
      </c>
      <c r="BA38" s="16">
        <f t="shared" ref="BA38:BA43" si="48">SUM(AR38:AZ38)</f>
        <v>0</v>
      </c>
    </row>
    <row r="39" spans="1:53" x14ac:dyDescent="0.25">
      <c r="A39" s="77">
        <v>36</v>
      </c>
      <c r="B39" s="76" t="s">
        <v>125</v>
      </c>
      <c r="C39" s="214" t="s">
        <v>124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R39" s="14">
        <f t="shared" si="39"/>
        <v>0</v>
      </c>
      <c r="AS39" s="14">
        <f t="shared" si="40"/>
        <v>0</v>
      </c>
      <c r="AT39" s="14">
        <f t="shared" si="41"/>
        <v>0</v>
      </c>
      <c r="AU39" s="14">
        <f t="shared" si="42"/>
        <v>0</v>
      </c>
      <c r="AV39" s="15">
        <f t="shared" si="43"/>
        <v>0</v>
      </c>
      <c r="AW39" s="14">
        <f t="shared" si="44"/>
        <v>0</v>
      </c>
      <c r="AX39" s="14">
        <f t="shared" si="45"/>
        <v>0</v>
      </c>
      <c r="AY39" s="14">
        <f t="shared" si="46"/>
        <v>0</v>
      </c>
      <c r="AZ39" s="14">
        <f t="shared" si="47"/>
        <v>0</v>
      </c>
      <c r="BA39" s="16">
        <f t="shared" si="48"/>
        <v>0</v>
      </c>
    </row>
    <row r="40" spans="1:53" x14ac:dyDescent="0.25">
      <c r="A40" s="77">
        <v>37</v>
      </c>
      <c r="B40" s="76" t="s">
        <v>126</v>
      </c>
      <c r="C40" s="214" t="s">
        <v>124</v>
      </c>
      <c r="D40" s="87">
        <v>2797</v>
      </c>
      <c r="E40" s="87">
        <v>3131</v>
      </c>
      <c r="F40" s="87">
        <v>174</v>
      </c>
      <c r="G40" s="87">
        <v>128</v>
      </c>
      <c r="H40" s="87">
        <v>126</v>
      </c>
      <c r="I40" s="87">
        <v>234</v>
      </c>
      <c r="J40" s="87">
        <v>27</v>
      </c>
      <c r="K40" s="87">
        <v>113</v>
      </c>
      <c r="L40" s="87">
        <v>75</v>
      </c>
      <c r="M40" s="87">
        <v>110</v>
      </c>
      <c r="N40" s="87">
        <v>147</v>
      </c>
      <c r="O40" s="87">
        <v>80</v>
      </c>
      <c r="P40" s="87">
        <v>130</v>
      </c>
      <c r="Q40" s="87">
        <v>217</v>
      </c>
      <c r="R40" s="87">
        <v>220</v>
      </c>
      <c r="S40" s="87">
        <v>77</v>
      </c>
      <c r="T40" s="87">
        <v>201</v>
      </c>
      <c r="U40" s="87">
        <v>130</v>
      </c>
      <c r="V40" s="87">
        <v>987</v>
      </c>
      <c r="W40" s="87">
        <v>130</v>
      </c>
      <c r="X40" s="87">
        <v>130</v>
      </c>
      <c r="Y40" s="87">
        <v>107</v>
      </c>
      <c r="Z40" s="87">
        <v>272</v>
      </c>
      <c r="AA40" s="87">
        <v>337</v>
      </c>
      <c r="AB40" s="87">
        <v>67</v>
      </c>
      <c r="AC40" s="87">
        <v>115</v>
      </c>
      <c r="AD40" s="87">
        <v>89</v>
      </c>
      <c r="AE40" s="87">
        <v>85</v>
      </c>
      <c r="AF40" s="87">
        <v>448</v>
      </c>
      <c r="AG40" s="87">
        <v>65</v>
      </c>
      <c r="AH40" s="87">
        <v>92</v>
      </c>
      <c r="AI40" s="87">
        <v>297</v>
      </c>
      <c r="AJ40" s="87">
        <v>34</v>
      </c>
      <c r="AK40" s="87">
        <v>122</v>
      </c>
      <c r="AL40" s="87">
        <v>50</v>
      </c>
      <c r="AM40" s="87">
        <v>373</v>
      </c>
      <c r="AN40" s="87">
        <v>65</v>
      </c>
      <c r="AO40" s="87">
        <v>69</v>
      </c>
      <c r="AP40" s="86">
        <v>148</v>
      </c>
      <c r="AR40" s="14">
        <f t="shared" si="39"/>
        <v>2797</v>
      </c>
      <c r="AS40" s="14">
        <f t="shared" si="40"/>
        <v>4118</v>
      </c>
      <c r="AT40" s="14">
        <f t="shared" si="41"/>
        <v>357</v>
      </c>
      <c r="AU40" s="14">
        <f t="shared" si="42"/>
        <v>715</v>
      </c>
      <c r="AV40" s="15">
        <f t="shared" si="43"/>
        <v>1756</v>
      </c>
      <c r="AW40" s="14">
        <f t="shared" si="44"/>
        <v>693</v>
      </c>
      <c r="AX40" s="14">
        <f t="shared" si="45"/>
        <v>605</v>
      </c>
      <c r="AY40" s="14">
        <f t="shared" si="46"/>
        <v>503</v>
      </c>
      <c r="AZ40" s="14">
        <f t="shared" si="47"/>
        <v>655</v>
      </c>
      <c r="BA40" s="16">
        <f t="shared" si="48"/>
        <v>12199</v>
      </c>
    </row>
    <row r="41" spans="1:53" x14ac:dyDescent="0.25">
      <c r="A41" s="77">
        <v>38</v>
      </c>
      <c r="B41" s="76" t="s">
        <v>127</v>
      </c>
      <c r="C41" s="214" t="s">
        <v>124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R41" s="14">
        <f t="shared" si="39"/>
        <v>0</v>
      </c>
      <c r="AS41" s="14">
        <f t="shared" si="40"/>
        <v>0</v>
      </c>
      <c r="AT41" s="14">
        <f t="shared" si="41"/>
        <v>0</v>
      </c>
      <c r="AU41" s="14">
        <f t="shared" si="42"/>
        <v>0</v>
      </c>
      <c r="AV41" s="15">
        <f t="shared" si="43"/>
        <v>0</v>
      </c>
      <c r="AW41" s="14">
        <f t="shared" si="44"/>
        <v>0</v>
      </c>
      <c r="AX41" s="14">
        <f t="shared" si="45"/>
        <v>0</v>
      </c>
      <c r="AY41" s="14">
        <f t="shared" si="46"/>
        <v>0</v>
      </c>
      <c r="AZ41" s="14">
        <f t="shared" si="47"/>
        <v>0</v>
      </c>
      <c r="BA41" s="16">
        <f t="shared" si="48"/>
        <v>0</v>
      </c>
    </row>
    <row r="42" spans="1:53" x14ac:dyDescent="0.25">
      <c r="A42" s="77">
        <v>39</v>
      </c>
      <c r="B42" s="76" t="s">
        <v>128</v>
      </c>
      <c r="C42" s="214" t="s">
        <v>124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R42" s="14">
        <f t="shared" si="39"/>
        <v>0</v>
      </c>
      <c r="AS42" s="14">
        <f t="shared" si="40"/>
        <v>0</v>
      </c>
      <c r="AT42" s="14">
        <f t="shared" si="41"/>
        <v>0</v>
      </c>
      <c r="AU42" s="14">
        <f t="shared" si="42"/>
        <v>0</v>
      </c>
      <c r="AV42" s="15">
        <f t="shared" si="43"/>
        <v>0</v>
      </c>
      <c r="AW42" s="14">
        <f t="shared" si="44"/>
        <v>0</v>
      </c>
      <c r="AX42" s="14">
        <f t="shared" si="45"/>
        <v>0</v>
      </c>
      <c r="AY42" s="14">
        <f t="shared" si="46"/>
        <v>0</v>
      </c>
      <c r="AZ42" s="14">
        <f t="shared" si="47"/>
        <v>0</v>
      </c>
      <c r="BA42" s="16">
        <f t="shared" si="48"/>
        <v>0</v>
      </c>
    </row>
    <row r="43" spans="1:53" x14ac:dyDescent="0.25">
      <c r="A43" s="77">
        <v>40</v>
      </c>
      <c r="B43" s="76" t="s">
        <v>129</v>
      </c>
      <c r="C43" s="214" t="s">
        <v>124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R43" s="14">
        <f t="shared" si="39"/>
        <v>0</v>
      </c>
      <c r="AS43" s="14">
        <f t="shared" si="40"/>
        <v>0</v>
      </c>
      <c r="AT43" s="14">
        <f t="shared" si="41"/>
        <v>0</v>
      </c>
      <c r="AU43" s="14">
        <f t="shared" si="42"/>
        <v>0</v>
      </c>
      <c r="AV43" s="15">
        <f t="shared" si="43"/>
        <v>0</v>
      </c>
      <c r="AW43" s="14">
        <f t="shared" si="44"/>
        <v>0</v>
      </c>
      <c r="AX43" s="14">
        <f t="shared" si="45"/>
        <v>0</v>
      </c>
      <c r="AY43" s="14">
        <f t="shared" si="46"/>
        <v>0</v>
      </c>
      <c r="AZ43" s="14">
        <f t="shared" si="47"/>
        <v>0</v>
      </c>
      <c r="BA43" s="16">
        <f t="shared" si="48"/>
        <v>0</v>
      </c>
    </row>
    <row r="44" spans="1:53" x14ac:dyDescent="0.25">
      <c r="A44" s="77">
        <v>41</v>
      </c>
      <c r="B44" s="76" t="s">
        <v>132</v>
      </c>
      <c r="C44" s="213" t="s">
        <v>134</v>
      </c>
      <c r="D44" s="88"/>
      <c r="E44" s="88">
        <v>2800</v>
      </c>
      <c r="F44" s="88"/>
      <c r="G44" s="88"/>
      <c r="H44" s="88"/>
      <c r="I44" s="88"/>
      <c r="J44" s="88"/>
      <c r="K44" s="88"/>
      <c r="L44" s="88"/>
      <c r="M44" s="88"/>
      <c r="N44" s="88">
        <v>1800</v>
      </c>
      <c r="O44" s="88"/>
      <c r="P44" s="88">
        <v>700</v>
      </c>
      <c r="Q44" s="88">
        <v>1200</v>
      </c>
      <c r="R44" s="88"/>
      <c r="S44" s="88"/>
      <c r="T44" s="88"/>
      <c r="U44" s="88">
        <v>855</v>
      </c>
      <c r="V44" s="88">
        <v>3000</v>
      </c>
      <c r="W44" s="88"/>
      <c r="X44" s="88"/>
      <c r="Y44" s="88"/>
      <c r="Z44" s="88"/>
      <c r="AA44" s="88">
        <v>2500</v>
      </c>
      <c r="AB44" s="88"/>
      <c r="AC44" s="88"/>
      <c r="AD44" s="88"/>
      <c r="AE44" s="88"/>
      <c r="AF44" s="88">
        <v>1300</v>
      </c>
      <c r="AG44" s="88"/>
      <c r="AH44" s="88"/>
      <c r="AI44" s="88">
        <v>1200</v>
      </c>
      <c r="AJ44" s="88"/>
      <c r="AK44" s="88"/>
      <c r="AL44" s="88"/>
      <c r="AM44" s="88">
        <v>1500</v>
      </c>
      <c r="AN44" s="88"/>
      <c r="AO44" s="88"/>
      <c r="AP44" s="88"/>
      <c r="AR44" s="14">
        <f t="shared" ref="AR44:AR114" si="49">SUM(D44)</f>
        <v>0</v>
      </c>
      <c r="AS44" s="14">
        <f t="shared" ref="AS44:AS114" si="50">+SUM(E44:M44)</f>
        <v>2800</v>
      </c>
      <c r="AT44" s="14">
        <f t="shared" ref="AT44:AT114" si="51">+SUM(N44:P44)</f>
        <v>2500</v>
      </c>
      <c r="AU44" s="14">
        <f t="shared" ref="AU44:AU114" si="52">+SUM(Q44:T44)</f>
        <v>1200</v>
      </c>
      <c r="AV44" s="15">
        <f t="shared" ref="AV44:AV114" si="53">+SUM(U44:Z44)</f>
        <v>3855</v>
      </c>
      <c r="AW44" s="14">
        <f t="shared" ref="AW44:AW114" si="54">+SUM(AA44:AE44)</f>
        <v>2500</v>
      </c>
      <c r="AX44" s="14">
        <f t="shared" ref="AX44:AX114" si="55">+SUM(AF44:AH44)</f>
        <v>1300</v>
      </c>
      <c r="AY44" s="14">
        <f t="shared" ref="AY44:AY114" si="56">+SUM(AI44:AL44)</f>
        <v>1200</v>
      </c>
      <c r="AZ44" s="14">
        <f t="shared" ref="AZ44:AZ114" si="57">+SUM(AM44:AP44)</f>
        <v>1500</v>
      </c>
      <c r="BA44" s="16">
        <f t="shared" ref="BA44:BA114" si="58">SUM(AR44:AZ44)</f>
        <v>16855</v>
      </c>
    </row>
    <row r="45" spans="1:53" x14ac:dyDescent="0.25">
      <c r="A45" s="77">
        <v>42</v>
      </c>
      <c r="B45" s="76" t="s">
        <v>131</v>
      </c>
      <c r="C45" s="213" t="s">
        <v>134</v>
      </c>
      <c r="D45" s="88"/>
      <c r="E45" s="88">
        <v>2200</v>
      </c>
      <c r="F45" s="88"/>
      <c r="G45" s="88"/>
      <c r="H45" s="88"/>
      <c r="I45" s="88"/>
      <c r="J45" s="88"/>
      <c r="K45" s="88"/>
      <c r="L45" s="88"/>
      <c r="M45" s="88"/>
      <c r="N45" s="88">
        <v>1600</v>
      </c>
      <c r="O45" s="88"/>
      <c r="P45" s="88">
        <v>500</v>
      </c>
      <c r="Q45" s="88">
        <v>1047</v>
      </c>
      <c r="R45" s="88"/>
      <c r="S45" s="88"/>
      <c r="T45" s="88"/>
      <c r="U45" s="88">
        <v>500</v>
      </c>
      <c r="V45" s="88">
        <v>2500</v>
      </c>
      <c r="W45" s="88"/>
      <c r="X45" s="88"/>
      <c r="Y45" s="88"/>
      <c r="Z45" s="88"/>
      <c r="AA45" s="88">
        <v>2000</v>
      </c>
      <c r="AB45" s="88"/>
      <c r="AC45" s="88"/>
      <c r="AD45" s="88"/>
      <c r="AE45" s="88"/>
      <c r="AF45" s="88">
        <v>1500</v>
      </c>
      <c r="AG45" s="88"/>
      <c r="AH45" s="88"/>
      <c r="AI45" s="88">
        <v>1050</v>
      </c>
      <c r="AJ45" s="88"/>
      <c r="AK45" s="88"/>
      <c r="AL45" s="88"/>
      <c r="AM45" s="88">
        <v>1300</v>
      </c>
      <c r="AN45" s="88"/>
      <c r="AO45" s="88"/>
      <c r="AP45" s="88"/>
      <c r="AR45" s="14">
        <f t="shared" si="49"/>
        <v>0</v>
      </c>
      <c r="AS45" s="14">
        <f t="shared" si="50"/>
        <v>2200</v>
      </c>
      <c r="AT45" s="14">
        <f t="shared" si="51"/>
        <v>2100</v>
      </c>
      <c r="AU45" s="14">
        <f t="shared" si="52"/>
        <v>1047</v>
      </c>
      <c r="AV45" s="15">
        <f t="shared" si="53"/>
        <v>3000</v>
      </c>
      <c r="AW45" s="14">
        <f t="shared" si="54"/>
        <v>2000</v>
      </c>
      <c r="AX45" s="14">
        <f t="shared" si="55"/>
        <v>1500</v>
      </c>
      <c r="AY45" s="14">
        <f t="shared" si="56"/>
        <v>1050</v>
      </c>
      <c r="AZ45" s="14">
        <f t="shared" si="57"/>
        <v>1300</v>
      </c>
      <c r="BA45" s="16">
        <f t="shared" si="58"/>
        <v>14197</v>
      </c>
    </row>
    <row r="46" spans="1:53" x14ac:dyDescent="0.25">
      <c r="A46" s="77">
        <v>43</v>
      </c>
      <c r="B46" s="76" t="s">
        <v>133</v>
      </c>
      <c r="C46" s="213" t="s">
        <v>134</v>
      </c>
      <c r="D46" s="88"/>
      <c r="E46" s="88">
        <v>109</v>
      </c>
      <c r="F46" s="88"/>
      <c r="G46" s="88"/>
      <c r="H46" s="88"/>
      <c r="I46" s="88"/>
      <c r="J46" s="88"/>
      <c r="K46" s="88"/>
      <c r="L46" s="88"/>
      <c r="M46" s="88"/>
      <c r="N46" s="88">
        <v>80</v>
      </c>
      <c r="O46" s="88"/>
      <c r="P46" s="88">
        <v>30</v>
      </c>
      <c r="Q46" s="88">
        <v>50</v>
      </c>
      <c r="R46" s="88"/>
      <c r="S46" s="88"/>
      <c r="T46" s="88"/>
      <c r="U46" s="88">
        <v>30</v>
      </c>
      <c r="V46" s="88">
        <v>130</v>
      </c>
      <c r="W46" s="88"/>
      <c r="X46" s="88"/>
      <c r="Y46" s="88"/>
      <c r="Z46" s="88"/>
      <c r="AA46" s="88">
        <v>100</v>
      </c>
      <c r="AB46" s="88"/>
      <c r="AC46" s="88"/>
      <c r="AD46" s="88"/>
      <c r="AE46" s="88"/>
      <c r="AF46" s="88">
        <v>50</v>
      </c>
      <c r="AG46" s="88"/>
      <c r="AH46" s="88"/>
      <c r="AI46" s="88">
        <v>50</v>
      </c>
      <c r="AJ46" s="88"/>
      <c r="AK46" s="88"/>
      <c r="AL46" s="88"/>
      <c r="AM46" s="88">
        <v>50</v>
      </c>
      <c r="AN46" s="88"/>
      <c r="AO46" s="88"/>
      <c r="AP46" s="88"/>
      <c r="AR46" s="14">
        <f t="shared" si="49"/>
        <v>0</v>
      </c>
      <c r="AS46" s="14">
        <f t="shared" si="50"/>
        <v>109</v>
      </c>
      <c r="AT46" s="14">
        <f t="shared" si="51"/>
        <v>110</v>
      </c>
      <c r="AU46" s="14">
        <f t="shared" si="52"/>
        <v>50</v>
      </c>
      <c r="AV46" s="15">
        <f t="shared" si="53"/>
        <v>160</v>
      </c>
      <c r="AW46" s="14">
        <f t="shared" si="54"/>
        <v>100</v>
      </c>
      <c r="AX46" s="14">
        <f t="shared" si="55"/>
        <v>50</v>
      </c>
      <c r="AY46" s="14">
        <f t="shared" si="56"/>
        <v>50</v>
      </c>
      <c r="AZ46" s="14">
        <f t="shared" si="57"/>
        <v>50</v>
      </c>
      <c r="BA46" s="16">
        <f t="shared" si="58"/>
        <v>679</v>
      </c>
    </row>
    <row r="47" spans="1:53" x14ac:dyDescent="0.25">
      <c r="A47" s="77">
        <v>44</v>
      </c>
      <c r="B47" s="76" t="s">
        <v>137</v>
      </c>
      <c r="C47" s="213" t="s">
        <v>135</v>
      </c>
      <c r="D47" s="88"/>
      <c r="E47" s="88">
        <v>1000</v>
      </c>
      <c r="F47" s="88"/>
      <c r="G47" s="88"/>
      <c r="H47" s="88"/>
      <c r="I47" s="88"/>
      <c r="J47" s="88"/>
      <c r="K47" s="88"/>
      <c r="L47" s="88"/>
      <c r="M47" s="88"/>
      <c r="N47" s="88">
        <v>500</v>
      </c>
      <c r="O47" s="88"/>
      <c r="P47" s="88">
        <v>200</v>
      </c>
      <c r="Q47" s="88">
        <v>400</v>
      </c>
      <c r="R47" s="88"/>
      <c r="S47" s="88"/>
      <c r="T47" s="88"/>
      <c r="U47" s="88">
        <v>0</v>
      </c>
      <c r="V47" s="88">
        <v>800</v>
      </c>
      <c r="W47" s="88"/>
      <c r="X47" s="88"/>
      <c r="Y47" s="88"/>
      <c r="Z47" s="88"/>
      <c r="AA47" s="88">
        <v>600</v>
      </c>
      <c r="AB47" s="88"/>
      <c r="AC47" s="88"/>
      <c r="AD47" s="88"/>
      <c r="AE47" s="88"/>
      <c r="AF47" s="88">
        <v>500</v>
      </c>
      <c r="AG47" s="88"/>
      <c r="AH47" s="88"/>
      <c r="AI47" s="88">
        <v>400</v>
      </c>
      <c r="AJ47" s="88"/>
      <c r="AK47" s="88"/>
      <c r="AL47" s="88"/>
      <c r="AM47" s="88">
        <v>500</v>
      </c>
      <c r="AN47" s="88"/>
      <c r="AO47" s="88"/>
      <c r="AP47" s="88"/>
      <c r="AR47" s="14">
        <f t="shared" si="49"/>
        <v>0</v>
      </c>
      <c r="AS47" s="14">
        <f t="shared" si="50"/>
        <v>1000</v>
      </c>
      <c r="AT47" s="14">
        <f t="shared" si="51"/>
        <v>700</v>
      </c>
      <c r="AU47" s="14">
        <f t="shared" si="52"/>
        <v>400</v>
      </c>
      <c r="AV47" s="15">
        <f t="shared" si="53"/>
        <v>800</v>
      </c>
      <c r="AW47" s="14">
        <f t="shared" si="54"/>
        <v>600</v>
      </c>
      <c r="AX47" s="14">
        <f t="shared" si="55"/>
        <v>500</v>
      </c>
      <c r="AY47" s="14">
        <f t="shared" si="56"/>
        <v>400</v>
      </c>
      <c r="AZ47" s="14">
        <f t="shared" si="57"/>
        <v>500</v>
      </c>
      <c r="BA47" s="16">
        <f t="shared" si="58"/>
        <v>4900</v>
      </c>
    </row>
    <row r="48" spans="1:53" x14ac:dyDescent="0.25">
      <c r="A48" s="77">
        <v>45</v>
      </c>
      <c r="B48" s="76" t="s">
        <v>130</v>
      </c>
      <c r="C48" s="213" t="s">
        <v>135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R48" s="14">
        <f t="shared" si="49"/>
        <v>0</v>
      </c>
      <c r="AS48" s="14">
        <f t="shared" si="50"/>
        <v>0</v>
      </c>
      <c r="AT48" s="14">
        <f t="shared" si="51"/>
        <v>0</v>
      </c>
      <c r="AU48" s="14">
        <f t="shared" si="52"/>
        <v>0</v>
      </c>
      <c r="AV48" s="15">
        <f t="shared" si="53"/>
        <v>0</v>
      </c>
      <c r="AW48" s="14">
        <f t="shared" si="54"/>
        <v>0</v>
      </c>
      <c r="AX48" s="14">
        <f t="shared" si="55"/>
        <v>0</v>
      </c>
      <c r="AY48" s="14">
        <f t="shared" si="56"/>
        <v>0</v>
      </c>
      <c r="AZ48" s="14">
        <f t="shared" si="57"/>
        <v>0</v>
      </c>
      <c r="BA48" s="16">
        <f t="shared" si="58"/>
        <v>0</v>
      </c>
    </row>
    <row r="49" spans="1:53" x14ac:dyDescent="0.25">
      <c r="A49" s="77">
        <v>46</v>
      </c>
      <c r="B49" s="76" t="s">
        <v>138</v>
      </c>
      <c r="C49" s="213" t="s">
        <v>135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R49" s="14">
        <f t="shared" si="49"/>
        <v>0</v>
      </c>
      <c r="AS49" s="14">
        <f t="shared" si="50"/>
        <v>0</v>
      </c>
      <c r="AT49" s="14">
        <f t="shared" si="51"/>
        <v>0</v>
      </c>
      <c r="AU49" s="14">
        <f t="shared" si="52"/>
        <v>0</v>
      </c>
      <c r="AV49" s="15">
        <f t="shared" si="53"/>
        <v>0</v>
      </c>
      <c r="AW49" s="14">
        <f t="shared" si="54"/>
        <v>0</v>
      </c>
      <c r="AX49" s="14">
        <f t="shared" si="55"/>
        <v>0</v>
      </c>
      <c r="AY49" s="14">
        <f t="shared" si="56"/>
        <v>0</v>
      </c>
      <c r="AZ49" s="14">
        <f t="shared" si="57"/>
        <v>0</v>
      </c>
      <c r="BA49" s="16">
        <f t="shared" si="58"/>
        <v>0</v>
      </c>
    </row>
    <row r="50" spans="1:53" x14ac:dyDescent="0.25">
      <c r="A50" s="77">
        <v>47</v>
      </c>
      <c r="B50" s="76" t="s">
        <v>139</v>
      </c>
      <c r="C50" s="213" t="s">
        <v>136</v>
      </c>
      <c r="D50" s="88"/>
      <c r="E50" s="88">
        <v>380</v>
      </c>
      <c r="F50" s="88"/>
      <c r="G50" s="88"/>
      <c r="H50" s="88"/>
      <c r="I50" s="88"/>
      <c r="J50" s="88"/>
      <c r="K50" s="88"/>
      <c r="L50" s="88"/>
      <c r="M50" s="88"/>
      <c r="N50" s="88">
        <v>60</v>
      </c>
      <c r="O50" s="88"/>
      <c r="P50" s="88">
        <v>30</v>
      </c>
      <c r="Q50" s="88">
        <v>60</v>
      </c>
      <c r="R50" s="88"/>
      <c r="S50" s="88"/>
      <c r="T50" s="88"/>
      <c r="U50" s="88">
        <v>30</v>
      </c>
      <c r="V50" s="88">
        <v>380</v>
      </c>
      <c r="W50" s="88"/>
      <c r="X50" s="88"/>
      <c r="Y50" s="88"/>
      <c r="Z50" s="88"/>
      <c r="AA50" s="88">
        <v>280</v>
      </c>
      <c r="AB50" s="88"/>
      <c r="AC50" s="88"/>
      <c r="AD50" s="88"/>
      <c r="AE50" s="88"/>
      <c r="AF50" s="88">
        <v>60</v>
      </c>
      <c r="AG50" s="88"/>
      <c r="AH50" s="88"/>
      <c r="AI50" s="88">
        <v>60</v>
      </c>
      <c r="AJ50" s="88"/>
      <c r="AK50" s="88"/>
      <c r="AL50" s="88"/>
      <c r="AM50" s="88">
        <v>60</v>
      </c>
      <c r="AN50" s="88"/>
      <c r="AO50" s="88"/>
      <c r="AP50" s="88"/>
      <c r="AR50" s="14">
        <f t="shared" si="49"/>
        <v>0</v>
      </c>
      <c r="AS50" s="14">
        <f t="shared" si="50"/>
        <v>380</v>
      </c>
      <c r="AT50" s="14">
        <f t="shared" si="51"/>
        <v>90</v>
      </c>
      <c r="AU50" s="14">
        <f t="shared" si="52"/>
        <v>60</v>
      </c>
      <c r="AV50" s="15">
        <f t="shared" si="53"/>
        <v>410</v>
      </c>
      <c r="AW50" s="14">
        <f t="shared" si="54"/>
        <v>280</v>
      </c>
      <c r="AX50" s="14">
        <f t="shared" si="55"/>
        <v>60</v>
      </c>
      <c r="AY50" s="14">
        <f t="shared" si="56"/>
        <v>60</v>
      </c>
      <c r="AZ50" s="14">
        <f t="shared" si="57"/>
        <v>60</v>
      </c>
      <c r="BA50" s="16">
        <f t="shared" si="58"/>
        <v>1400</v>
      </c>
    </row>
    <row r="51" spans="1:53" x14ac:dyDescent="0.25">
      <c r="A51" s="77">
        <v>48</v>
      </c>
      <c r="B51" s="76" t="s">
        <v>140</v>
      </c>
      <c r="C51" s="213" t="s">
        <v>136</v>
      </c>
      <c r="D51" s="88"/>
      <c r="E51" s="88">
        <v>400</v>
      </c>
      <c r="F51" s="88"/>
      <c r="G51" s="88"/>
      <c r="H51" s="88"/>
      <c r="I51" s="88"/>
      <c r="J51" s="88"/>
      <c r="K51" s="88"/>
      <c r="L51" s="88"/>
      <c r="M51" s="88"/>
      <c r="N51" s="88">
        <v>50</v>
      </c>
      <c r="O51" s="88"/>
      <c r="P51" s="88">
        <v>20</v>
      </c>
      <c r="Q51" s="88">
        <v>50</v>
      </c>
      <c r="R51" s="88"/>
      <c r="S51" s="88"/>
      <c r="T51" s="88"/>
      <c r="U51" s="88">
        <v>20</v>
      </c>
      <c r="V51" s="88">
        <v>380</v>
      </c>
      <c r="W51" s="88"/>
      <c r="X51" s="88"/>
      <c r="Y51" s="88"/>
      <c r="Z51" s="88"/>
      <c r="AA51" s="88">
        <v>240</v>
      </c>
      <c r="AB51" s="88"/>
      <c r="AC51" s="88"/>
      <c r="AD51" s="88"/>
      <c r="AE51" s="88"/>
      <c r="AF51" s="88">
        <v>40</v>
      </c>
      <c r="AG51" s="88"/>
      <c r="AH51" s="88"/>
      <c r="AI51" s="88">
        <v>50</v>
      </c>
      <c r="AJ51" s="88"/>
      <c r="AK51" s="88"/>
      <c r="AL51" s="88"/>
      <c r="AM51" s="88">
        <v>50</v>
      </c>
      <c r="AN51" s="88"/>
      <c r="AO51" s="88"/>
      <c r="AP51" s="88"/>
      <c r="AR51" s="14">
        <f t="shared" si="49"/>
        <v>0</v>
      </c>
      <c r="AS51" s="14">
        <f t="shared" si="50"/>
        <v>400</v>
      </c>
      <c r="AT51" s="14">
        <f t="shared" si="51"/>
        <v>70</v>
      </c>
      <c r="AU51" s="14">
        <f t="shared" si="52"/>
        <v>50</v>
      </c>
      <c r="AV51" s="15">
        <f t="shared" si="53"/>
        <v>400</v>
      </c>
      <c r="AW51" s="14">
        <f t="shared" si="54"/>
        <v>240</v>
      </c>
      <c r="AX51" s="14">
        <f t="shared" si="55"/>
        <v>40</v>
      </c>
      <c r="AY51" s="14">
        <f t="shared" si="56"/>
        <v>50</v>
      </c>
      <c r="AZ51" s="14">
        <f t="shared" si="57"/>
        <v>50</v>
      </c>
      <c r="BA51" s="16">
        <f t="shared" si="58"/>
        <v>1300</v>
      </c>
    </row>
    <row r="52" spans="1:53" x14ac:dyDescent="0.25">
      <c r="A52" s="77">
        <v>49</v>
      </c>
      <c r="B52" s="76" t="s">
        <v>141</v>
      </c>
      <c r="C52" s="213" t="s">
        <v>136</v>
      </c>
      <c r="D52" s="90"/>
      <c r="E52" s="88">
        <v>1600</v>
      </c>
      <c r="F52" s="88"/>
      <c r="G52" s="88"/>
      <c r="H52" s="88"/>
      <c r="I52" s="88"/>
      <c r="J52" s="88"/>
      <c r="K52" s="88"/>
      <c r="L52" s="88"/>
      <c r="M52" s="88"/>
      <c r="N52" s="88">
        <v>950</v>
      </c>
      <c r="O52" s="88"/>
      <c r="P52" s="88">
        <v>450</v>
      </c>
      <c r="Q52" s="88">
        <v>950</v>
      </c>
      <c r="R52" s="88"/>
      <c r="S52" s="88"/>
      <c r="T52" s="88"/>
      <c r="U52" s="88">
        <v>450</v>
      </c>
      <c r="V52" s="88">
        <v>1800</v>
      </c>
      <c r="W52" s="88"/>
      <c r="X52" s="88"/>
      <c r="Y52" s="88"/>
      <c r="Z52" s="88"/>
      <c r="AA52" s="88">
        <v>1300</v>
      </c>
      <c r="AB52" s="88"/>
      <c r="AC52" s="88"/>
      <c r="AD52" s="88"/>
      <c r="AE52" s="88"/>
      <c r="AF52" s="88">
        <v>950</v>
      </c>
      <c r="AG52" s="88"/>
      <c r="AH52" s="88"/>
      <c r="AI52" s="88">
        <v>950</v>
      </c>
      <c r="AJ52" s="88"/>
      <c r="AK52" s="88"/>
      <c r="AL52" s="88"/>
      <c r="AM52" s="88">
        <v>950</v>
      </c>
      <c r="AN52" s="88"/>
      <c r="AO52" s="88"/>
      <c r="AP52" s="88"/>
      <c r="AR52" s="14">
        <f t="shared" si="49"/>
        <v>0</v>
      </c>
      <c r="AS52" s="14">
        <f t="shared" si="50"/>
        <v>1600</v>
      </c>
      <c r="AT52" s="14">
        <f t="shared" si="51"/>
        <v>1400</v>
      </c>
      <c r="AU52" s="14">
        <f t="shared" si="52"/>
        <v>950</v>
      </c>
      <c r="AV52" s="15">
        <f t="shared" si="53"/>
        <v>2250</v>
      </c>
      <c r="AW52" s="14">
        <f t="shared" si="54"/>
        <v>1300</v>
      </c>
      <c r="AX52" s="14">
        <f t="shared" si="55"/>
        <v>950</v>
      </c>
      <c r="AY52" s="14">
        <f t="shared" si="56"/>
        <v>950</v>
      </c>
      <c r="AZ52" s="14">
        <f t="shared" si="57"/>
        <v>950</v>
      </c>
      <c r="BA52" s="16">
        <f t="shared" si="58"/>
        <v>10350</v>
      </c>
    </row>
    <row r="53" spans="1:53" x14ac:dyDescent="0.25">
      <c r="A53" s="77">
        <v>50</v>
      </c>
      <c r="B53" s="76" t="s">
        <v>142</v>
      </c>
      <c r="C53" s="213" t="s">
        <v>154</v>
      </c>
      <c r="D53" s="86"/>
      <c r="E53" s="86">
        <v>8017</v>
      </c>
      <c r="F53" s="86"/>
      <c r="G53" s="86"/>
      <c r="H53" s="86"/>
      <c r="I53" s="86"/>
      <c r="J53" s="86"/>
      <c r="K53" s="86"/>
      <c r="L53" s="86"/>
      <c r="M53" s="86"/>
      <c r="N53" s="86">
        <v>2326</v>
      </c>
      <c r="O53" s="86"/>
      <c r="P53" s="86"/>
      <c r="Q53" s="86">
        <v>1639</v>
      </c>
      <c r="R53" s="86"/>
      <c r="S53" s="86"/>
      <c r="T53" s="86"/>
      <c r="U53" s="86">
        <v>3375</v>
      </c>
      <c r="V53" s="86"/>
      <c r="W53" s="86"/>
      <c r="X53" s="86"/>
      <c r="Y53" s="86"/>
      <c r="Z53" s="86"/>
      <c r="AA53" s="86">
        <v>1049</v>
      </c>
      <c r="AB53" s="86"/>
      <c r="AC53" s="86"/>
      <c r="AD53" s="86"/>
      <c r="AE53" s="86"/>
      <c r="AF53" s="86">
        <v>2196</v>
      </c>
      <c r="AG53" s="86"/>
      <c r="AH53" s="86"/>
      <c r="AI53" s="86">
        <v>1441</v>
      </c>
      <c r="AJ53" s="86"/>
      <c r="AK53" s="86"/>
      <c r="AL53" s="86"/>
      <c r="AM53" s="86">
        <v>2155</v>
      </c>
      <c r="AN53" s="86"/>
      <c r="AO53" s="86"/>
      <c r="AP53" s="86"/>
      <c r="AR53" s="14">
        <f t="shared" si="49"/>
        <v>0</v>
      </c>
      <c r="AS53" s="14">
        <f t="shared" si="50"/>
        <v>8017</v>
      </c>
      <c r="AT53" s="14">
        <f t="shared" si="51"/>
        <v>2326</v>
      </c>
      <c r="AU53" s="14">
        <f t="shared" si="52"/>
        <v>1639</v>
      </c>
      <c r="AV53" s="15">
        <f t="shared" si="53"/>
        <v>3375</v>
      </c>
      <c r="AW53" s="14">
        <f t="shared" si="54"/>
        <v>1049</v>
      </c>
      <c r="AX53" s="14">
        <f t="shared" si="55"/>
        <v>2196</v>
      </c>
      <c r="AY53" s="14">
        <f t="shared" si="56"/>
        <v>1441</v>
      </c>
      <c r="AZ53" s="14">
        <f t="shared" si="57"/>
        <v>2155</v>
      </c>
      <c r="BA53" s="16">
        <f t="shared" si="58"/>
        <v>22198</v>
      </c>
    </row>
    <row r="54" spans="1:53" x14ac:dyDescent="0.25">
      <c r="A54" s="77">
        <v>51</v>
      </c>
      <c r="B54" s="76" t="s">
        <v>143</v>
      </c>
      <c r="C54" s="213" t="s">
        <v>154</v>
      </c>
      <c r="D54" s="86"/>
      <c r="E54" s="86">
        <v>4858</v>
      </c>
      <c r="F54" s="86"/>
      <c r="G54" s="86"/>
      <c r="H54" s="86"/>
      <c r="I54" s="86"/>
      <c r="J54" s="86"/>
      <c r="K54" s="86"/>
      <c r="L54" s="86"/>
      <c r="M54" s="86"/>
      <c r="N54" s="86">
        <v>1454</v>
      </c>
      <c r="O54" s="86"/>
      <c r="P54" s="86"/>
      <c r="Q54" s="86">
        <v>1211</v>
      </c>
      <c r="R54" s="86"/>
      <c r="S54" s="86"/>
      <c r="T54" s="86"/>
      <c r="U54" s="86">
        <v>891</v>
      </c>
      <c r="V54" s="86"/>
      <c r="W54" s="86"/>
      <c r="X54" s="86"/>
      <c r="Y54" s="86"/>
      <c r="Z54" s="86"/>
      <c r="AA54" s="86">
        <v>567</v>
      </c>
      <c r="AB54" s="86"/>
      <c r="AC54" s="86"/>
      <c r="AD54" s="86"/>
      <c r="AE54" s="86"/>
      <c r="AF54" s="86">
        <v>533</v>
      </c>
      <c r="AG54" s="86"/>
      <c r="AH54" s="86"/>
      <c r="AI54" s="86">
        <v>793</v>
      </c>
      <c r="AJ54" s="86"/>
      <c r="AK54" s="86"/>
      <c r="AL54" s="86"/>
      <c r="AM54" s="86">
        <v>1512</v>
      </c>
      <c r="AN54" s="86"/>
      <c r="AO54" s="86"/>
      <c r="AP54" s="86"/>
      <c r="AR54" s="14">
        <f t="shared" si="49"/>
        <v>0</v>
      </c>
      <c r="AS54" s="14">
        <f t="shared" si="50"/>
        <v>4858</v>
      </c>
      <c r="AT54" s="14">
        <f t="shared" si="51"/>
        <v>1454</v>
      </c>
      <c r="AU54" s="14">
        <f t="shared" si="52"/>
        <v>1211</v>
      </c>
      <c r="AV54" s="15">
        <f t="shared" si="53"/>
        <v>891</v>
      </c>
      <c r="AW54" s="14">
        <f t="shared" si="54"/>
        <v>567</v>
      </c>
      <c r="AX54" s="14">
        <f t="shared" si="55"/>
        <v>533</v>
      </c>
      <c r="AY54" s="14">
        <f t="shared" si="56"/>
        <v>793</v>
      </c>
      <c r="AZ54" s="14">
        <f t="shared" si="57"/>
        <v>1512</v>
      </c>
      <c r="BA54" s="16">
        <f t="shared" si="58"/>
        <v>11819</v>
      </c>
    </row>
    <row r="55" spans="1:53" x14ac:dyDescent="0.25">
      <c r="A55" s="77">
        <v>52</v>
      </c>
      <c r="B55" s="76" t="s">
        <v>144</v>
      </c>
      <c r="C55" s="213" t="s">
        <v>154</v>
      </c>
      <c r="D55" s="86"/>
      <c r="E55" s="86">
        <v>739</v>
      </c>
      <c r="F55" s="86"/>
      <c r="G55" s="86"/>
      <c r="H55" s="86"/>
      <c r="I55" s="86"/>
      <c r="J55" s="86"/>
      <c r="K55" s="86"/>
      <c r="L55" s="86"/>
      <c r="M55" s="86"/>
      <c r="N55" s="86">
        <v>983</v>
      </c>
      <c r="O55" s="86"/>
      <c r="P55" s="86"/>
      <c r="Q55" s="86">
        <v>722</v>
      </c>
      <c r="R55" s="86"/>
      <c r="S55" s="86"/>
      <c r="T55" s="86"/>
      <c r="U55" s="86">
        <v>805</v>
      </c>
      <c r="V55" s="86"/>
      <c r="W55" s="86"/>
      <c r="X55" s="86"/>
      <c r="Y55" s="86"/>
      <c r="Z55" s="86"/>
      <c r="AA55" s="86">
        <v>933</v>
      </c>
      <c r="AB55" s="86"/>
      <c r="AC55" s="86"/>
      <c r="AD55" s="86"/>
      <c r="AE55" s="86"/>
      <c r="AF55" s="86">
        <v>852</v>
      </c>
      <c r="AG55" s="86"/>
      <c r="AH55" s="86"/>
      <c r="AI55" s="86">
        <v>711</v>
      </c>
      <c r="AJ55" s="86"/>
      <c r="AK55" s="86"/>
      <c r="AL55" s="86"/>
      <c r="AM55" s="86">
        <v>787</v>
      </c>
      <c r="AN55" s="86"/>
      <c r="AO55" s="86"/>
      <c r="AP55" s="86"/>
      <c r="AR55" s="14">
        <f t="shared" si="49"/>
        <v>0</v>
      </c>
      <c r="AS55" s="14">
        <f t="shared" si="50"/>
        <v>739</v>
      </c>
      <c r="AT55" s="14">
        <f t="shared" si="51"/>
        <v>983</v>
      </c>
      <c r="AU55" s="14">
        <f t="shared" si="52"/>
        <v>722</v>
      </c>
      <c r="AV55" s="15">
        <f t="shared" si="53"/>
        <v>805</v>
      </c>
      <c r="AW55" s="14">
        <f t="shared" si="54"/>
        <v>933</v>
      </c>
      <c r="AX55" s="14">
        <f t="shared" si="55"/>
        <v>852</v>
      </c>
      <c r="AY55" s="14">
        <f t="shared" si="56"/>
        <v>711</v>
      </c>
      <c r="AZ55" s="14">
        <f t="shared" si="57"/>
        <v>787</v>
      </c>
      <c r="BA55" s="16">
        <f t="shared" si="58"/>
        <v>6532</v>
      </c>
    </row>
    <row r="56" spans="1:53" x14ac:dyDescent="0.25">
      <c r="A56" s="77">
        <v>53</v>
      </c>
      <c r="B56" s="76" t="s">
        <v>145</v>
      </c>
      <c r="C56" s="213" t="s">
        <v>154</v>
      </c>
      <c r="D56" s="86"/>
      <c r="E56" s="86">
        <v>89</v>
      </c>
      <c r="F56" s="86"/>
      <c r="G56" s="86"/>
      <c r="H56" s="86"/>
      <c r="I56" s="86"/>
      <c r="J56" s="86"/>
      <c r="K56" s="86"/>
      <c r="L56" s="86"/>
      <c r="M56" s="86"/>
      <c r="N56" s="86">
        <v>22</v>
      </c>
      <c r="O56" s="86"/>
      <c r="P56" s="86"/>
      <c r="Q56" s="86">
        <v>17</v>
      </c>
      <c r="R56" s="86"/>
      <c r="S56" s="86"/>
      <c r="T56" s="86"/>
      <c r="U56" s="86">
        <v>2</v>
      </c>
      <c r="V56" s="86"/>
      <c r="W56" s="86"/>
      <c r="X56" s="86"/>
      <c r="Y56" s="86"/>
      <c r="Z56" s="86"/>
      <c r="AA56" s="86">
        <v>38</v>
      </c>
      <c r="AB56" s="86"/>
      <c r="AC56" s="86"/>
      <c r="AD56" s="86"/>
      <c r="AE56" s="86"/>
      <c r="AF56" s="86">
        <v>2</v>
      </c>
      <c r="AG56" s="86"/>
      <c r="AH56" s="86"/>
      <c r="AI56" s="86">
        <v>40</v>
      </c>
      <c r="AJ56" s="86"/>
      <c r="AK56" s="86"/>
      <c r="AL56" s="86"/>
      <c r="AM56" s="86">
        <v>7</v>
      </c>
      <c r="AN56" s="86"/>
      <c r="AO56" s="86"/>
      <c r="AP56" s="86"/>
      <c r="AR56" s="14">
        <f t="shared" si="49"/>
        <v>0</v>
      </c>
      <c r="AS56" s="14">
        <f t="shared" si="50"/>
        <v>89</v>
      </c>
      <c r="AT56" s="14">
        <f t="shared" si="51"/>
        <v>22</v>
      </c>
      <c r="AU56" s="14">
        <f t="shared" si="52"/>
        <v>17</v>
      </c>
      <c r="AV56" s="15">
        <f t="shared" si="53"/>
        <v>2</v>
      </c>
      <c r="AW56" s="14">
        <f t="shared" si="54"/>
        <v>38</v>
      </c>
      <c r="AX56" s="14">
        <f t="shared" si="55"/>
        <v>2</v>
      </c>
      <c r="AY56" s="14">
        <f t="shared" si="56"/>
        <v>40</v>
      </c>
      <c r="AZ56" s="14">
        <f t="shared" si="57"/>
        <v>7</v>
      </c>
      <c r="BA56" s="16">
        <f t="shared" si="58"/>
        <v>217</v>
      </c>
    </row>
    <row r="57" spans="1:53" x14ac:dyDescent="0.25">
      <c r="A57" s="77">
        <v>54</v>
      </c>
      <c r="B57" s="76" t="s">
        <v>146</v>
      </c>
      <c r="C57" s="213" t="s">
        <v>154</v>
      </c>
      <c r="D57" s="86"/>
      <c r="E57" s="86">
        <v>221</v>
      </c>
      <c r="F57" s="86"/>
      <c r="G57" s="86"/>
      <c r="H57" s="86"/>
      <c r="I57" s="86"/>
      <c r="J57" s="86"/>
      <c r="K57" s="86"/>
      <c r="L57" s="86"/>
      <c r="M57" s="86"/>
      <c r="N57" s="86">
        <v>294</v>
      </c>
      <c r="O57" s="86"/>
      <c r="P57" s="86"/>
      <c r="Q57" s="86">
        <v>217</v>
      </c>
      <c r="R57" s="86"/>
      <c r="S57" s="86"/>
      <c r="T57" s="86"/>
      <c r="U57" s="86">
        <v>242</v>
      </c>
      <c r="V57" s="86"/>
      <c r="W57" s="86"/>
      <c r="X57" s="86"/>
      <c r="Y57" s="86"/>
      <c r="Z57" s="86"/>
      <c r="AA57" s="86">
        <v>280</v>
      </c>
      <c r="AB57" s="86"/>
      <c r="AC57" s="86"/>
      <c r="AD57" s="86"/>
      <c r="AE57" s="86"/>
      <c r="AF57" s="86">
        <v>256</v>
      </c>
      <c r="AG57" s="86"/>
      <c r="AH57" s="86"/>
      <c r="AI57" s="86">
        <v>214</v>
      </c>
      <c r="AJ57" s="86"/>
      <c r="AK57" s="86"/>
      <c r="AL57" s="86"/>
      <c r="AM57" s="86">
        <v>236</v>
      </c>
      <c r="AN57" s="86"/>
      <c r="AO57" s="86"/>
      <c r="AP57" s="86"/>
      <c r="AR57" s="14">
        <f t="shared" si="49"/>
        <v>0</v>
      </c>
      <c r="AS57" s="14">
        <f t="shared" si="50"/>
        <v>221</v>
      </c>
      <c r="AT57" s="14">
        <f t="shared" si="51"/>
        <v>294</v>
      </c>
      <c r="AU57" s="14">
        <f t="shared" si="52"/>
        <v>217</v>
      </c>
      <c r="AV57" s="15">
        <f t="shared" si="53"/>
        <v>242</v>
      </c>
      <c r="AW57" s="14">
        <f t="shared" si="54"/>
        <v>280</v>
      </c>
      <c r="AX57" s="14">
        <f t="shared" si="55"/>
        <v>256</v>
      </c>
      <c r="AY57" s="14">
        <f t="shared" si="56"/>
        <v>214</v>
      </c>
      <c r="AZ57" s="14">
        <f t="shared" si="57"/>
        <v>236</v>
      </c>
      <c r="BA57" s="16">
        <f t="shared" si="58"/>
        <v>1960</v>
      </c>
    </row>
    <row r="58" spans="1:53" x14ac:dyDescent="0.25">
      <c r="A58" s="77">
        <v>55</v>
      </c>
      <c r="B58" s="76" t="s">
        <v>147</v>
      </c>
      <c r="C58" s="213" t="s">
        <v>154</v>
      </c>
      <c r="D58" s="86"/>
      <c r="E58" s="86">
        <v>5</v>
      </c>
      <c r="F58" s="86"/>
      <c r="G58" s="86"/>
      <c r="H58" s="86"/>
      <c r="I58" s="86"/>
      <c r="J58" s="86"/>
      <c r="K58" s="86"/>
      <c r="L58" s="86"/>
      <c r="M58" s="86"/>
      <c r="N58" s="86">
        <v>5</v>
      </c>
      <c r="O58" s="86"/>
      <c r="P58" s="86"/>
      <c r="Q58" s="86">
        <v>5</v>
      </c>
      <c r="R58" s="86"/>
      <c r="S58" s="86"/>
      <c r="T58" s="86"/>
      <c r="U58" s="86">
        <v>5</v>
      </c>
      <c r="V58" s="86"/>
      <c r="W58" s="86"/>
      <c r="X58" s="86"/>
      <c r="Y58" s="86"/>
      <c r="Z58" s="86"/>
      <c r="AA58" s="86">
        <v>5</v>
      </c>
      <c r="AB58" s="86"/>
      <c r="AC58" s="86"/>
      <c r="AD58" s="86"/>
      <c r="AE58" s="86"/>
      <c r="AF58" s="86">
        <v>5</v>
      </c>
      <c r="AG58" s="86"/>
      <c r="AH58" s="86"/>
      <c r="AI58" s="86">
        <v>5</v>
      </c>
      <c r="AJ58" s="86"/>
      <c r="AK58" s="86"/>
      <c r="AL58" s="86"/>
      <c r="AM58" s="86">
        <v>5</v>
      </c>
      <c r="AN58" s="86"/>
      <c r="AO58" s="86"/>
      <c r="AP58" s="86"/>
      <c r="AR58" s="14">
        <f t="shared" si="49"/>
        <v>0</v>
      </c>
      <c r="AS58" s="14">
        <f t="shared" si="50"/>
        <v>5</v>
      </c>
      <c r="AT58" s="14">
        <f t="shared" si="51"/>
        <v>5</v>
      </c>
      <c r="AU58" s="14">
        <f t="shared" si="52"/>
        <v>5</v>
      </c>
      <c r="AV58" s="15">
        <f t="shared" si="53"/>
        <v>5</v>
      </c>
      <c r="AW58" s="14">
        <f t="shared" si="54"/>
        <v>5</v>
      </c>
      <c r="AX58" s="14">
        <f t="shared" si="55"/>
        <v>5</v>
      </c>
      <c r="AY58" s="14">
        <f t="shared" si="56"/>
        <v>5</v>
      </c>
      <c r="AZ58" s="14">
        <f t="shared" si="57"/>
        <v>5</v>
      </c>
      <c r="BA58" s="16">
        <f t="shared" si="58"/>
        <v>40</v>
      </c>
    </row>
    <row r="59" spans="1:53" x14ac:dyDescent="0.25">
      <c r="A59" s="77">
        <v>56</v>
      </c>
      <c r="B59" s="76" t="s">
        <v>148</v>
      </c>
      <c r="C59" s="213" t="s">
        <v>154</v>
      </c>
      <c r="D59" s="86"/>
      <c r="E59" s="86">
        <v>5</v>
      </c>
      <c r="F59" s="86"/>
      <c r="G59" s="86"/>
      <c r="H59" s="86"/>
      <c r="I59" s="86"/>
      <c r="J59" s="86"/>
      <c r="K59" s="86"/>
      <c r="L59" s="86"/>
      <c r="M59" s="86"/>
      <c r="N59" s="86">
        <v>5</v>
      </c>
      <c r="O59" s="86"/>
      <c r="P59" s="86"/>
      <c r="Q59" s="86">
        <v>5</v>
      </c>
      <c r="R59" s="86"/>
      <c r="S59" s="86"/>
      <c r="T59" s="86"/>
      <c r="U59" s="86">
        <v>5</v>
      </c>
      <c r="V59" s="86"/>
      <c r="W59" s="86"/>
      <c r="X59" s="86"/>
      <c r="Y59" s="86"/>
      <c r="Z59" s="86"/>
      <c r="AA59" s="86">
        <v>5</v>
      </c>
      <c r="AB59" s="86"/>
      <c r="AC59" s="86"/>
      <c r="AD59" s="86"/>
      <c r="AE59" s="86"/>
      <c r="AF59" s="86">
        <v>5</v>
      </c>
      <c r="AG59" s="86"/>
      <c r="AH59" s="86"/>
      <c r="AI59" s="86">
        <v>5</v>
      </c>
      <c r="AJ59" s="86"/>
      <c r="AK59" s="86"/>
      <c r="AL59" s="86"/>
      <c r="AM59" s="86">
        <v>5</v>
      </c>
      <c r="AN59" s="86"/>
      <c r="AO59" s="86"/>
      <c r="AP59" s="86"/>
      <c r="AR59" s="14">
        <f t="shared" si="49"/>
        <v>0</v>
      </c>
      <c r="AS59" s="14">
        <f t="shared" si="50"/>
        <v>5</v>
      </c>
      <c r="AT59" s="14">
        <f t="shared" si="51"/>
        <v>5</v>
      </c>
      <c r="AU59" s="14">
        <f t="shared" si="52"/>
        <v>5</v>
      </c>
      <c r="AV59" s="15">
        <f t="shared" si="53"/>
        <v>5</v>
      </c>
      <c r="AW59" s="14">
        <f t="shared" si="54"/>
        <v>5</v>
      </c>
      <c r="AX59" s="14">
        <f t="shared" si="55"/>
        <v>5</v>
      </c>
      <c r="AY59" s="14">
        <f t="shared" si="56"/>
        <v>5</v>
      </c>
      <c r="AZ59" s="14">
        <f t="shared" si="57"/>
        <v>5</v>
      </c>
      <c r="BA59" s="16">
        <f t="shared" si="58"/>
        <v>40</v>
      </c>
    </row>
    <row r="60" spans="1:53" x14ac:dyDescent="0.25">
      <c r="A60" s="77">
        <v>57</v>
      </c>
      <c r="B60" s="76" t="s">
        <v>149</v>
      </c>
      <c r="C60" s="213" t="s">
        <v>154</v>
      </c>
      <c r="D60" s="86"/>
      <c r="E60" s="86">
        <v>71</v>
      </c>
      <c r="F60" s="86"/>
      <c r="G60" s="86"/>
      <c r="H60" s="86"/>
      <c r="I60" s="86"/>
      <c r="J60" s="86"/>
      <c r="K60" s="86"/>
      <c r="L60" s="86"/>
      <c r="M60" s="86"/>
      <c r="N60" s="86">
        <v>5</v>
      </c>
      <c r="O60" s="86"/>
      <c r="P60" s="86"/>
      <c r="Q60" s="86">
        <v>13</v>
      </c>
      <c r="R60" s="86"/>
      <c r="S60" s="86"/>
      <c r="T60" s="86"/>
      <c r="U60" s="86">
        <v>106</v>
      </c>
      <c r="V60" s="86"/>
      <c r="W60" s="86"/>
      <c r="X60" s="86"/>
      <c r="Y60" s="86"/>
      <c r="Z60" s="86"/>
      <c r="AA60" s="86">
        <v>87</v>
      </c>
      <c r="AB60" s="86"/>
      <c r="AC60" s="86"/>
      <c r="AD60" s="86"/>
      <c r="AE60" s="86"/>
      <c r="AF60" s="86">
        <v>10</v>
      </c>
      <c r="AG60" s="86"/>
      <c r="AH60" s="86"/>
      <c r="AI60" s="86">
        <v>24</v>
      </c>
      <c r="AJ60" s="86"/>
      <c r="AK60" s="86"/>
      <c r="AL60" s="86"/>
      <c r="AM60" s="86">
        <v>6</v>
      </c>
      <c r="AN60" s="86"/>
      <c r="AO60" s="86"/>
      <c r="AP60" s="86"/>
      <c r="AR60" s="14">
        <f t="shared" si="49"/>
        <v>0</v>
      </c>
      <c r="AS60" s="14">
        <f t="shared" si="50"/>
        <v>71</v>
      </c>
      <c r="AT60" s="14">
        <f t="shared" si="51"/>
        <v>5</v>
      </c>
      <c r="AU60" s="14">
        <f t="shared" si="52"/>
        <v>13</v>
      </c>
      <c r="AV60" s="15">
        <f t="shared" si="53"/>
        <v>106</v>
      </c>
      <c r="AW60" s="14">
        <f t="shared" si="54"/>
        <v>87</v>
      </c>
      <c r="AX60" s="14">
        <f t="shared" si="55"/>
        <v>10</v>
      </c>
      <c r="AY60" s="14">
        <f t="shared" si="56"/>
        <v>24</v>
      </c>
      <c r="AZ60" s="14">
        <f t="shared" si="57"/>
        <v>6</v>
      </c>
      <c r="BA60" s="16">
        <f t="shared" si="58"/>
        <v>322</v>
      </c>
    </row>
    <row r="61" spans="1:53" x14ac:dyDescent="0.25">
      <c r="A61" s="77">
        <v>58</v>
      </c>
      <c r="B61" s="76" t="s">
        <v>150</v>
      </c>
      <c r="C61" s="213" t="s">
        <v>154</v>
      </c>
      <c r="D61" s="86"/>
      <c r="E61" s="86">
        <v>5</v>
      </c>
      <c r="F61" s="86"/>
      <c r="G61" s="86"/>
      <c r="H61" s="86"/>
      <c r="I61" s="86"/>
      <c r="J61" s="86"/>
      <c r="K61" s="86"/>
      <c r="L61" s="86"/>
      <c r="M61" s="86"/>
      <c r="N61" s="86">
        <v>5</v>
      </c>
      <c r="O61" s="86"/>
      <c r="P61" s="86"/>
      <c r="Q61" s="86">
        <v>7</v>
      </c>
      <c r="R61" s="86"/>
      <c r="S61" s="86"/>
      <c r="T61" s="86"/>
      <c r="U61" s="86">
        <v>8</v>
      </c>
      <c r="V61" s="86"/>
      <c r="W61" s="86"/>
      <c r="X61" s="86"/>
      <c r="Y61" s="86"/>
      <c r="Z61" s="86"/>
      <c r="AA61" s="86">
        <v>3</v>
      </c>
      <c r="AB61" s="86"/>
      <c r="AC61" s="86"/>
      <c r="AD61" s="86"/>
      <c r="AE61" s="86"/>
      <c r="AF61" s="86">
        <v>5</v>
      </c>
      <c r="AG61" s="86"/>
      <c r="AH61" s="86"/>
      <c r="AI61" s="86">
        <v>7</v>
      </c>
      <c r="AJ61" s="86"/>
      <c r="AK61" s="86"/>
      <c r="AL61" s="86"/>
      <c r="AM61" s="86">
        <v>6</v>
      </c>
      <c r="AN61" s="86"/>
      <c r="AO61" s="86"/>
      <c r="AP61" s="86"/>
      <c r="AR61" s="14">
        <f t="shared" si="49"/>
        <v>0</v>
      </c>
      <c r="AS61" s="14">
        <f t="shared" si="50"/>
        <v>5</v>
      </c>
      <c r="AT61" s="14">
        <f t="shared" si="51"/>
        <v>5</v>
      </c>
      <c r="AU61" s="14">
        <f t="shared" si="52"/>
        <v>7</v>
      </c>
      <c r="AV61" s="15">
        <f t="shared" si="53"/>
        <v>8</v>
      </c>
      <c r="AW61" s="14">
        <f t="shared" si="54"/>
        <v>3</v>
      </c>
      <c r="AX61" s="14">
        <f t="shared" si="55"/>
        <v>5</v>
      </c>
      <c r="AY61" s="14">
        <f t="shared" si="56"/>
        <v>7</v>
      </c>
      <c r="AZ61" s="14">
        <f t="shared" si="57"/>
        <v>6</v>
      </c>
      <c r="BA61" s="16">
        <f t="shared" si="58"/>
        <v>46</v>
      </c>
    </row>
    <row r="62" spans="1:53" x14ac:dyDescent="0.25">
      <c r="A62" s="77">
        <v>59</v>
      </c>
      <c r="B62" s="76" t="s">
        <v>151</v>
      </c>
      <c r="C62" s="213" t="s">
        <v>154</v>
      </c>
      <c r="D62" s="86"/>
      <c r="E62" s="86">
        <v>192</v>
      </c>
      <c r="F62" s="86"/>
      <c r="G62" s="86"/>
      <c r="H62" s="86"/>
      <c r="I62" s="86"/>
      <c r="J62" s="86"/>
      <c r="K62" s="86"/>
      <c r="L62" s="86"/>
      <c r="M62" s="86"/>
      <c r="N62" s="86">
        <v>67</v>
      </c>
      <c r="O62" s="86"/>
      <c r="P62" s="86"/>
      <c r="Q62" s="86">
        <v>77</v>
      </c>
      <c r="R62" s="86"/>
      <c r="S62" s="86"/>
      <c r="T62" s="86"/>
      <c r="U62" s="86">
        <v>106</v>
      </c>
      <c r="V62" s="86"/>
      <c r="W62" s="86"/>
      <c r="X62" s="86"/>
      <c r="Y62" s="86"/>
      <c r="Z62" s="86"/>
      <c r="AA62" s="86">
        <v>87</v>
      </c>
      <c r="AB62" s="86"/>
      <c r="AC62" s="86"/>
      <c r="AD62" s="86"/>
      <c r="AE62" s="86"/>
      <c r="AF62" s="86">
        <v>77</v>
      </c>
      <c r="AG62" s="86"/>
      <c r="AH62" s="86"/>
      <c r="AI62" s="86">
        <v>24</v>
      </c>
      <c r="AJ62" s="86"/>
      <c r="AK62" s="86"/>
      <c r="AL62" s="86"/>
      <c r="AM62" s="86">
        <v>77</v>
      </c>
      <c r="AN62" s="86"/>
      <c r="AO62" s="86"/>
      <c r="AP62" s="86"/>
      <c r="AR62" s="14">
        <f t="shared" si="49"/>
        <v>0</v>
      </c>
      <c r="AS62" s="14">
        <f t="shared" si="50"/>
        <v>192</v>
      </c>
      <c r="AT62" s="14">
        <f t="shared" si="51"/>
        <v>67</v>
      </c>
      <c r="AU62" s="14">
        <f t="shared" si="52"/>
        <v>77</v>
      </c>
      <c r="AV62" s="15">
        <f t="shared" si="53"/>
        <v>106</v>
      </c>
      <c r="AW62" s="14">
        <f t="shared" si="54"/>
        <v>87</v>
      </c>
      <c r="AX62" s="14">
        <f t="shared" si="55"/>
        <v>77</v>
      </c>
      <c r="AY62" s="14">
        <f t="shared" si="56"/>
        <v>24</v>
      </c>
      <c r="AZ62" s="14">
        <f t="shared" si="57"/>
        <v>77</v>
      </c>
      <c r="BA62" s="16">
        <f t="shared" si="58"/>
        <v>707</v>
      </c>
    </row>
    <row r="63" spans="1:53" x14ac:dyDescent="0.25">
      <c r="A63" s="77">
        <v>60</v>
      </c>
      <c r="B63" s="76" t="s">
        <v>155</v>
      </c>
      <c r="C63" s="213" t="s">
        <v>154</v>
      </c>
      <c r="D63" s="86"/>
      <c r="E63" s="86">
        <v>30</v>
      </c>
      <c r="F63" s="86"/>
      <c r="G63" s="86"/>
      <c r="H63" s="86"/>
      <c r="I63" s="86"/>
      <c r="J63" s="86"/>
      <c r="K63" s="86"/>
      <c r="L63" s="86"/>
      <c r="M63" s="86"/>
      <c r="N63" s="86">
        <v>30</v>
      </c>
      <c r="O63" s="86"/>
      <c r="P63" s="86"/>
      <c r="Q63" s="86">
        <v>30</v>
      </c>
      <c r="R63" s="86"/>
      <c r="S63" s="86"/>
      <c r="T63" s="86"/>
      <c r="U63" s="86">
        <v>30</v>
      </c>
      <c r="V63" s="86"/>
      <c r="W63" s="86"/>
      <c r="X63" s="86"/>
      <c r="Y63" s="86"/>
      <c r="Z63" s="86"/>
      <c r="AA63" s="86">
        <v>30</v>
      </c>
      <c r="AB63" s="86"/>
      <c r="AC63" s="86"/>
      <c r="AD63" s="86"/>
      <c r="AE63" s="86"/>
      <c r="AF63" s="86">
        <v>30</v>
      </c>
      <c r="AG63" s="86"/>
      <c r="AH63" s="86"/>
      <c r="AI63" s="86">
        <v>30</v>
      </c>
      <c r="AJ63" s="86"/>
      <c r="AK63" s="86"/>
      <c r="AL63" s="86"/>
      <c r="AM63" s="86">
        <v>30</v>
      </c>
      <c r="AN63" s="86"/>
      <c r="AO63" s="86"/>
      <c r="AP63" s="86"/>
      <c r="AR63" s="14">
        <f t="shared" si="49"/>
        <v>0</v>
      </c>
      <c r="AS63" s="14">
        <f t="shared" si="50"/>
        <v>30</v>
      </c>
      <c r="AT63" s="14">
        <f t="shared" si="51"/>
        <v>30</v>
      </c>
      <c r="AU63" s="14">
        <f t="shared" si="52"/>
        <v>30</v>
      </c>
      <c r="AV63" s="15">
        <f t="shared" si="53"/>
        <v>30</v>
      </c>
      <c r="AW63" s="14">
        <f t="shared" si="54"/>
        <v>30</v>
      </c>
      <c r="AX63" s="14">
        <f t="shared" si="55"/>
        <v>30</v>
      </c>
      <c r="AY63" s="14">
        <f t="shared" si="56"/>
        <v>30</v>
      </c>
      <c r="AZ63" s="14">
        <f t="shared" si="57"/>
        <v>30</v>
      </c>
      <c r="BA63" s="16">
        <f t="shared" si="58"/>
        <v>240</v>
      </c>
    </row>
    <row r="64" spans="1:53" x14ac:dyDescent="0.25">
      <c r="A64" s="77">
        <v>61</v>
      </c>
      <c r="B64" s="76" t="s">
        <v>152</v>
      </c>
      <c r="C64" s="213" t="s">
        <v>154</v>
      </c>
      <c r="D64" s="86"/>
      <c r="E64" s="86">
        <v>30</v>
      </c>
      <c r="F64" s="86"/>
      <c r="G64" s="86"/>
      <c r="H64" s="86"/>
      <c r="I64" s="86"/>
      <c r="J64" s="86"/>
      <c r="K64" s="86"/>
      <c r="L64" s="86"/>
      <c r="M64" s="86"/>
      <c r="N64" s="86">
        <v>30</v>
      </c>
      <c r="O64" s="86"/>
      <c r="P64" s="86"/>
      <c r="Q64" s="86">
        <v>30</v>
      </c>
      <c r="R64" s="86"/>
      <c r="S64" s="86"/>
      <c r="T64" s="86"/>
      <c r="U64" s="86">
        <v>30</v>
      </c>
      <c r="V64" s="86"/>
      <c r="W64" s="86"/>
      <c r="X64" s="86"/>
      <c r="Y64" s="86"/>
      <c r="Z64" s="86"/>
      <c r="AA64" s="86">
        <v>30</v>
      </c>
      <c r="AB64" s="86"/>
      <c r="AC64" s="86"/>
      <c r="AD64" s="86"/>
      <c r="AE64" s="86"/>
      <c r="AF64" s="86">
        <v>30</v>
      </c>
      <c r="AG64" s="86"/>
      <c r="AH64" s="86"/>
      <c r="AI64" s="86">
        <v>30</v>
      </c>
      <c r="AJ64" s="86"/>
      <c r="AK64" s="86"/>
      <c r="AL64" s="86"/>
      <c r="AM64" s="86">
        <v>30</v>
      </c>
      <c r="AN64" s="86"/>
      <c r="AO64" s="86"/>
      <c r="AP64" s="86"/>
      <c r="AR64" s="14">
        <f t="shared" si="49"/>
        <v>0</v>
      </c>
      <c r="AS64" s="14">
        <f t="shared" si="50"/>
        <v>30</v>
      </c>
      <c r="AT64" s="14">
        <f t="shared" si="51"/>
        <v>30</v>
      </c>
      <c r="AU64" s="14">
        <f t="shared" si="52"/>
        <v>30</v>
      </c>
      <c r="AV64" s="15">
        <f t="shared" si="53"/>
        <v>30</v>
      </c>
      <c r="AW64" s="14">
        <f t="shared" si="54"/>
        <v>30</v>
      </c>
      <c r="AX64" s="14">
        <f t="shared" si="55"/>
        <v>30</v>
      </c>
      <c r="AY64" s="14">
        <f t="shared" si="56"/>
        <v>30</v>
      </c>
      <c r="AZ64" s="14">
        <f t="shared" si="57"/>
        <v>30</v>
      </c>
      <c r="BA64" s="16">
        <f t="shared" si="58"/>
        <v>240</v>
      </c>
    </row>
    <row r="65" spans="1:53" x14ac:dyDescent="0.25">
      <c r="A65" s="77">
        <v>62</v>
      </c>
      <c r="B65" s="76" t="s">
        <v>153</v>
      </c>
      <c r="C65" s="216" t="s">
        <v>154</v>
      </c>
      <c r="D65" s="86"/>
      <c r="E65" s="86">
        <v>815</v>
      </c>
      <c r="F65" s="86"/>
      <c r="G65" s="86"/>
      <c r="H65" s="86"/>
      <c r="I65" s="86"/>
      <c r="J65" s="86"/>
      <c r="K65" s="86"/>
      <c r="L65" s="86"/>
      <c r="M65" s="86"/>
      <c r="N65" s="86">
        <v>44</v>
      </c>
      <c r="O65" s="86"/>
      <c r="P65" s="86"/>
      <c r="Q65" s="86">
        <v>65</v>
      </c>
      <c r="R65" s="86"/>
      <c r="S65" s="86"/>
      <c r="T65" s="86"/>
      <c r="U65" s="86">
        <v>284</v>
      </c>
      <c r="V65" s="86"/>
      <c r="W65" s="86"/>
      <c r="X65" s="86"/>
      <c r="Y65" s="86"/>
      <c r="Z65" s="86"/>
      <c r="AA65" s="86">
        <v>100</v>
      </c>
      <c r="AB65" s="86"/>
      <c r="AC65" s="86"/>
      <c r="AD65" s="86"/>
      <c r="AE65" s="86"/>
      <c r="AF65" s="86">
        <v>30</v>
      </c>
      <c r="AG65" s="86"/>
      <c r="AH65" s="86"/>
      <c r="AI65" s="86">
        <v>96</v>
      </c>
      <c r="AJ65" s="86"/>
      <c r="AK65" s="86"/>
      <c r="AL65" s="86"/>
      <c r="AM65" s="86">
        <v>97</v>
      </c>
      <c r="AN65" s="86"/>
      <c r="AO65" s="86"/>
      <c r="AP65" s="86"/>
      <c r="AR65" s="14">
        <f t="shared" si="49"/>
        <v>0</v>
      </c>
      <c r="AS65" s="14">
        <f t="shared" si="50"/>
        <v>815</v>
      </c>
      <c r="AT65" s="14">
        <f t="shared" si="51"/>
        <v>44</v>
      </c>
      <c r="AU65" s="14">
        <f t="shared" si="52"/>
        <v>65</v>
      </c>
      <c r="AV65" s="15">
        <f t="shared" si="53"/>
        <v>284</v>
      </c>
      <c r="AW65" s="14">
        <f t="shared" si="54"/>
        <v>100</v>
      </c>
      <c r="AX65" s="14">
        <f t="shared" si="55"/>
        <v>30</v>
      </c>
      <c r="AY65" s="14">
        <f t="shared" si="56"/>
        <v>96</v>
      </c>
      <c r="AZ65" s="14">
        <f t="shared" si="57"/>
        <v>97</v>
      </c>
      <c r="BA65" s="16">
        <f t="shared" si="58"/>
        <v>1531</v>
      </c>
    </row>
    <row r="66" spans="1:53" s="48" customFormat="1" x14ac:dyDescent="0.25">
      <c r="A66" s="77">
        <v>63</v>
      </c>
      <c r="B66" s="208" t="s">
        <v>310</v>
      </c>
      <c r="C66" s="217" t="s">
        <v>306</v>
      </c>
      <c r="D66" s="209">
        <v>12</v>
      </c>
      <c r="E66" s="86">
        <v>12</v>
      </c>
      <c r="F66" s="86">
        <v>12</v>
      </c>
      <c r="G66" s="86">
        <v>12</v>
      </c>
      <c r="H66" s="86">
        <v>12</v>
      </c>
      <c r="I66" s="86">
        <v>12</v>
      </c>
      <c r="J66" s="86">
        <v>12</v>
      </c>
      <c r="K66" s="86">
        <v>12</v>
      </c>
      <c r="L66" s="86">
        <v>12</v>
      </c>
      <c r="M66" s="86">
        <v>12</v>
      </c>
      <c r="N66" s="86">
        <v>12</v>
      </c>
      <c r="O66" s="86">
        <v>12</v>
      </c>
      <c r="P66" s="86">
        <v>12</v>
      </c>
      <c r="Q66" s="86">
        <v>12</v>
      </c>
      <c r="R66" s="86">
        <v>12</v>
      </c>
      <c r="S66" s="86">
        <v>12</v>
      </c>
      <c r="T66" s="86">
        <v>12</v>
      </c>
      <c r="U66" s="86">
        <v>12</v>
      </c>
      <c r="V66" s="86">
        <v>12</v>
      </c>
      <c r="W66" s="86">
        <v>12</v>
      </c>
      <c r="X66" s="86">
        <v>12</v>
      </c>
      <c r="Y66" s="86">
        <v>12</v>
      </c>
      <c r="Z66" s="86">
        <v>12</v>
      </c>
      <c r="AA66" s="86">
        <v>12</v>
      </c>
      <c r="AB66" s="86">
        <v>12</v>
      </c>
      <c r="AC66" s="86">
        <v>12</v>
      </c>
      <c r="AD66" s="86">
        <v>12</v>
      </c>
      <c r="AE66" s="86">
        <v>12</v>
      </c>
      <c r="AF66" s="86">
        <v>12</v>
      </c>
      <c r="AG66" s="86">
        <v>12</v>
      </c>
      <c r="AH66" s="86">
        <v>12</v>
      </c>
      <c r="AI66" s="86">
        <v>12</v>
      </c>
      <c r="AJ66" s="86">
        <v>12</v>
      </c>
      <c r="AK66" s="86">
        <v>12</v>
      </c>
      <c r="AL66" s="86">
        <v>12</v>
      </c>
      <c r="AM66" s="86">
        <v>12</v>
      </c>
      <c r="AN66" s="86">
        <v>12</v>
      </c>
      <c r="AO66" s="86">
        <v>12</v>
      </c>
      <c r="AP66" s="86">
        <v>12</v>
      </c>
      <c r="AQ66" s="6"/>
      <c r="AR66" s="14">
        <f t="shared" ref="AR66:AR68" si="59">SUM(D66)</f>
        <v>12</v>
      </c>
      <c r="AS66" s="14">
        <f t="shared" ref="AS66:AS68" si="60">+SUM(E66:M66)</f>
        <v>108</v>
      </c>
      <c r="AT66" s="14">
        <f t="shared" ref="AT66:AT68" si="61">+SUM(N66:P66)</f>
        <v>36</v>
      </c>
      <c r="AU66" s="14">
        <f t="shared" ref="AU66:AU68" si="62">+SUM(Q66:T66)</f>
        <v>48</v>
      </c>
      <c r="AV66" s="15">
        <f t="shared" ref="AV66:AV68" si="63">+SUM(U66:Z66)</f>
        <v>72</v>
      </c>
      <c r="AW66" s="14">
        <f t="shared" ref="AW66:AW68" si="64">+SUM(AA66:AE66)</f>
        <v>60</v>
      </c>
      <c r="AX66" s="14">
        <f t="shared" ref="AX66:AX68" si="65">+SUM(AF66:AH66)</f>
        <v>36</v>
      </c>
      <c r="AY66" s="14">
        <f t="shared" ref="AY66:AY68" si="66">+SUM(AI66:AL66)</f>
        <v>48</v>
      </c>
      <c r="AZ66" s="14">
        <f t="shared" ref="AZ66:AZ68" si="67">+SUM(AM66:AP66)</f>
        <v>48</v>
      </c>
      <c r="BA66" s="16">
        <f t="shared" ref="BA66:BA68" si="68">SUM(AR66:AZ66)</f>
        <v>468</v>
      </c>
    </row>
    <row r="67" spans="1:53" s="48" customFormat="1" x14ac:dyDescent="0.25">
      <c r="A67" s="77">
        <v>64</v>
      </c>
      <c r="B67" s="208" t="s">
        <v>311</v>
      </c>
      <c r="C67" s="217" t="s">
        <v>306</v>
      </c>
      <c r="D67" s="209">
        <v>0</v>
      </c>
      <c r="E67" s="86">
        <v>10</v>
      </c>
      <c r="F67" s="86">
        <v>2</v>
      </c>
      <c r="G67" s="86">
        <v>2</v>
      </c>
      <c r="H67" s="86">
        <v>4</v>
      </c>
      <c r="I67" s="86">
        <v>12</v>
      </c>
      <c r="J67" s="86">
        <v>2</v>
      </c>
      <c r="K67" s="86">
        <v>4</v>
      </c>
      <c r="L67" s="86">
        <v>2</v>
      </c>
      <c r="M67" s="86">
        <v>4</v>
      </c>
      <c r="N67" s="86">
        <v>12</v>
      </c>
      <c r="O67" s="86">
        <v>8</v>
      </c>
      <c r="P67" s="86">
        <v>8</v>
      </c>
      <c r="Q67" s="86">
        <v>16</v>
      </c>
      <c r="R67" s="86">
        <v>6</v>
      </c>
      <c r="S67" s="86">
        <v>4</v>
      </c>
      <c r="T67" s="86">
        <v>6</v>
      </c>
      <c r="U67" s="86">
        <v>2</v>
      </c>
      <c r="V67" s="86">
        <v>8</v>
      </c>
      <c r="W67" s="86">
        <v>4</v>
      </c>
      <c r="X67" s="86">
        <v>6</v>
      </c>
      <c r="Y67" s="86">
        <v>6</v>
      </c>
      <c r="Z67" s="86">
        <v>12</v>
      </c>
      <c r="AA67" s="86">
        <v>12</v>
      </c>
      <c r="AB67" s="86">
        <v>2</v>
      </c>
      <c r="AC67" s="86">
        <v>8</v>
      </c>
      <c r="AD67" s="86">
        <v>4</v>
      </c>
      <c r="AE67" s="86">
        <v>6</v>
      </c>
      <c r="AF67" s="86">
        <v>10</v>
      </c>
      <c r="AG67" s="86">
        <v>6</v>
      </c>
      <c r="AH67" s="86">
        <v>4</v>
      </c>
      <c r="AI67" s="86">
        <v>8</v>
      </c>
      <c r="AJ67" s="86">
        <v>6</v>
      </c>
      <c r="AK67" s="86">
        <v>6</v>
      </c>
      <c r="AL67" s="86">
        <v>2</v>
      </c>
      <c r="AM67" s="86">
        <v>6</v>
      </c>
      <c r="AN67" s="86">
        <v>0</v>
      </c>
      <c r="AO67" s="86">
        <v>2</v>
      </c>
      <c r="AP67" s="86">
        <v>0</v>
      </c>
      <c r="AQ67" s="6"/>
      <c r="AR67" s="14">
        <f t="shared" si="59"/>
        <v>0</v>
      </c>
      <c r="AS67" s="14">
        <f t="shared" si="60"/>
        <v>42</v>
      </c>
      <c r="AT67" s="14">
        <f t="shared" si="61"/>
        <v>28</v>
      </c>
      <c r="AU67" s="14">
        <f t="shared" si="62"/>
        <v>32</v>
      </c>
      <c r="AV67" s="15">
        <f t="shared" si="63"/>
        <v>38</v>
      </c>
      <c r="AW67" s="14">
        <f t="shared" si="64"/>
        <v>32</v>
      </c>
      <c r="AX67" s="14">
        <f t="shared" si="65"/>
        <v>20</v>
      </c>
      <c r="AY67" s="14">
        <f t="shared" si="66"/>
        <v>22</v>
      </c>
      <c r="AZ67" s="14">
        <f t="shared" si="67"/>
        <v>8</v>
      </c>
      <c r="BA67" s="16">
        <f t="shared" si="68"/>
        <v>222</v>
      </c>
    </row>
    <row r="68" spans="1:53" s="48" customFormat="1" x14ac:dyDescent="0.25">
      <c r="A68" s="77">
        <v>65</v>
      </c>
      <c r="B68" s="208" t="s">
        <v>312</v>
      </c>
      <c r="C68" s="217" t="s">
        <v>306</v>
      </c>
      <c r="D68" s="209">
        <v>0</v>
      </c>
      <c r="E68" s="86">
        <v>240</v>
      </c>
      <c r="F68" s="86">
        <v>48</v>
      </c>
      <c r="G68" s="86">
        <v>48</v>
      </c>
      <c r="H68" s="86">
        <v>96</v>
      </c>
      <c r="I68" s="86">
        <v>288</v>
      </c>
      <c r="J68" s="86">
        <v>48</v>
      </c>
      <c r="K68" s="86">
        <v>96</v>
      </c>
      <c r="L68" s="86">
        <v>120</v>
      </c>
      <c r="M68" s="86">
        <v>96</v>
      </c>
      <c r="N68" s="86">
        <v>288</v>
      </c>
      <c r="O68" s="86">
        <v>192</v>
      </c>
      <c r="P68" s="86">
        <v>192</v>
      </c>
      <c r="Q68" s="86">
        <v>420</v>
      </c>
      <c r="R68" s="86">
        <v>180</v>
      </c>
      <c r="S68" s="86">
        <v>96</v>
      </c>
      <c r="T68" s="86">
        <v>144</v>
      </c>
      <c r="U68" s="86">
        <v>120</v>
      </c>
      <c r="V68" s="86">
        <v>264</v>
      </c>
      <c r="W68" s="86">
        <v>96</v>
      </c>
      <c r="X68" s="86">
        <v>144</v>
      </c>
      <c r="Y68" s="86">
        <v>144</v>
      </c>
      <c r="Z68" s="86">
        <v>360</v>
      </c>
      <c r="AA68" s="86">
        <v>288</v>
      </c>
      <c r="AB68" s="86">
        <v>48</v>
      </c>
      <c r="AC68" s="86">
        <v>192</v>
      </c>
      <c r="AD68" s="86">
        <v>96</v>
      </c>
      <c r="AE68" s="86">
        <v>144</v>
      </c>
      <c r="AF68" s="86">
        <v>240</v>
      </c>
      <c r="AG68" s="86">
        <v>252</v>
      </c>
      <c r="AH68" s="86">
        <v>96</v>
      </c>
      <c r="AI68" s="86">
        <v>228</v>
      </c>
      <c r="AJ68" s="86">
        <v>144</v>
      </c>
      <c r="AK68" s="86">
        <v>180</v>
      </c>
      <c r="AL68" s="86">
        <v>24</v>
      </c>
      <c r="AM68" s="86">
        <v>144</v>
      </c>
      <c r="AN68" s="86">
        <v>0</v>
      </c>
      <c r="AO68" s="86">
        <v>48</v>
      </c>
      <c r="AP68" s="86">
        <v>0</v>
      </c>
      <c r="AQ68" s="6"/>
      <c r="AR68" s="14">
        <f t="shared" si="59"/>
        <v>0</v>
      </c>
      <c r="AS68" s="14">
        <f t="shared" si="60"/>
        <v>1080</v>
      </c>
      <c r="AT68" s="14">
        <f t="shared" si="61"/>
        <v>672</v>
      </c>
      <c r="AU68" s="14">
        <f t="shared" si="62"/>
        <v>840</v>
      </c>
      <c r="AV68" s="15">
        <f t="shared" si="63"/>
        <v>1128</v>
      </c>
      <c r="AW68" s="14">
        <f t="shared" si="64"/>
        <v>768</v>
      </c>
      <c r="AX68" s="14">
        <f t="shared" si="65"/>
        <v>588</v>
      </c>
      <c r="AY68" s="14">
        <f t="shared" si="66"/>
        <v>576</v>
      </c>
      <c r="AZ68" s="14">
        <f t="shared" si="67"/>
        <v>192</v>
      </c>
      <c r="BA68" s="16">
        <f t="shared" si="68"/>
        <v>5844</v>
      </c>
    </row>
    <row r="69" spans="1:53" s="48" customFormat="1" x14ac:dyDescent="0.25">
      <c r="A69" s="77">
        <v>66</v>
      </c>
      <c r="B69" s="76" t="s">
        <v>313</v>
      </c>
      <c r="C69" s="218" t="s">
        <v>288</v>
      </c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6"/>
      <c r="AR69" s="14">
        <f t="shared" ref="AR69:AR90" si="69">SUM(D69)</f>
        <v>0</v>
      </c>
      <c r="AS69" s="14">
        <f t="shared" ref="AS69:AS90" si="70">+SUM(E69:M69)</f>
        <v>0</v>
      </c>
      <c r="AT69" s="14">
        <f t="shared" ref="AT69:AT90" si="71">+SUM(N69:P69)</f>
        <v>0</v>
      </c>
      <c r="AU69" s="14">
        <f t="shared" ref="AU69:AU90" si="72">+SUM(Q69:T69)</f>
        <v>0</v>
      </c>
      <c r="AV69" s="15">
        <f t="shared" ref="AV69:AV90" si="73">+SUM(U69:Z69)</f>
        <v>0</v>
      </c>
      <c r="AW69" s="14">
        <f t="shared" ref="AW69:AW90" si="74">+SUM(AA69:AE69)</f>
        <v>0</v>
      </c>
      <c r="AX69" s="14">
        <f t="shared" ref="AX69:AX90" si="75">+SUM(AF69:AH69)</f>
        <v>0</v>
      </c>
      <c r="AY69" s="14">
        <f t="shared" ref="AY69:AY90" si="76">+SUM(AI69:AL69)</f>
        <v>0</v>
      </c>
      <c r="AZ69" s="14">
        <f t="shared" ref="AZ69:AZ90" si="77">+SUM(AM69:AP69)</f>
        <v>0</v>
      </c>
      <c r="BA69" s="16">
        <f t="shared" ref="BA69:BA90" si="78">SUM(AR69:AZ69)</f>
        <v>0</v>
      </c>
    </row>
    <row r="70" spans="1:53" s="48" customFormat="1" x14ac:dyDescent="0.25">
      <c r="A70" s="77">
        <v>67</v>
      </c>
      <c r="B70" s="76" t="s">
        <v>314</v>
      </c>
      <c r="C70" s="218" t="s">
        <v>288</v>
      </c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6"/>
      <c r="AR70" s="14">
        <f t="shared" si="69"/>
        <v>0</v>
      </c>
      <c r="AS70" s="14">
        <f t="shared" si="70"/>
        <v>0</v>
      </c>
      <c r="AT70" s="14">
        <f t="shared" si="71"/>
        <v>0</v>
      </c>
      <c r="AU70" s="14">
        <f t="shared" si="72"/>
        <v>0</v>
      </c>
      <c r="AV70" s="15">
        <f t="shared" si="73"/>
        <v>0</v>
      </c>
      <c r="AW70" s="14">
        <f t="shared" si="74"/>
        <v>0</v>
      </c>
      <c r="AX70" s="14">
        <f t="shared" si="75"/>
        <v>0</v>
      </c>
      <c r="AY70" s="14">
        <f t="shared" si="76"/>
        <v>0</v>
      </c>
      <c r="AZ70" s="14">
        <f t="shared" si="77"/>
        <v>0</v>
      </c>
      <c r="BA70" s="16">
        <f t="shared" si="78"/>
        <v>0</v>
      </c>
    </row>
    <row r="71" spans="1:53" s="48" customFormat="1" x14ac:dyDescent="0.25">
      <c r="A71" s="77">
        <v>68</v>
      </c>
      <c r="B71" s="76" t="s">
        <v>315</v>
      </c>
      <c r="C71" s="218" t="s">
        <v>288</v>
      </c>
      <c r="D71" s="86"/>
      <c r="E71" s="86">
        <v>4488</v>
      </c>
      <c r="F71" s="86">
        <v>584</v>
      </c>
      <c r="G71" s="86"/>
      <c r="H71" s="86"/>
      <c r="I71" s="86"/>
      <c r="J71" s="86"/>
      <c r="K71" s="86"/>
      <c r="L71" s="86"/>
      <c r="M71" s="86"/>
      <c r="N71" s="86">
        <v>720</v>
      </c>
      <c r="O71" s="86">
        <v>500</v>
      </c>
      <c r="P71" s="86">
        <v>636</v>
      </c>
      <c r="Q71" s="86">
        <v>3096</v>
      </c>
      <c r="R71" s="86"/>
      <c r="S71" s="86"/>
      <c r="T71" s="86"/>
      <c r="U71" s="86">
        <v>2628</v>
      </c>
      <c r="V71" s="86">
        <v>4260</v>
      </c>
      <c r="W71" s="86"/>
      <c r="X71" s="86">
        <v>940</v>
      </c>
      <c r="Y71" s="86"/>
      <c r="Z71" s="86"/>
      <c r="AA71" s="86">
        <v>1140</v>
      </c>
      <c r="AB71" s="86"/>
      <c r="AC71" s="86">
        <v>860</v>
      </c>
      <c r="AD71" s="86"/>
      <c r="AE71" s="86"/>
      <c r="AF71" s="86">
        <v>1128</v>
      </c>
      <c r="AG71" s="86"/>
      <c r="AH71" s="86"/>
      <c r="AI71" s="86">
        <v>3360</v>
      </c>
      <c r="AJ71" s="86"/>
      <c r="AK71" s="86"/>
      <c r="AL71" s="86"/>
      <c r="AM71" s="86">
        <v>3516</v>
      </c>
      <c r="AN71" s="86"/>
      <c r="AO71" s="86"/>
      <c r="AP71" s="86"/>
      <c r="AQ71" s="6"/>
      <c r="AR71" s="14">
        <f t="shared" si="69"/>
        <v>0</v>
      </c>
      <c r="AS71" s="14">
        <f t="shared" si="70"/>
        <v>5072</v>
      </c>
      <c r="AT71" s="14">
        <f t="shared" si="71"/>
        <v>1856</v>
      </c>
      <c r="AU71" s="14">
        <f t="shared" si="72"/>
        <v>3096</v>
      </c>
      <c r="AV71" s="15">
        <f t="shared" si="73"/>
        <v>7828</v>
      </c>
      <c r="AW71" s="14">
        <f t="shared" si="74"/>
        <v>2000</v>
      </c>
      <c r="AX71" s="14">
        <f t="shared" si="75"/>
        <v>1128</v>
      </c>
      <c r="AY71" s="14">
        <f t="shared" si="76"/>
        <v>3360</v>
      </c>
      <c r="AZ71" s="14">
        <f t="shared" si="77"/>
        <v>3516</v>
      </c>
      <c r="BA71" s="16">
        <f t="shared" si="78"/>
        <v>27856</v>
      </c>
    </row>
    <row r="72" spans="1:53" s="48" customFormat="1" x14ac:dyDescent="0.25">
      <c r="A72" s="77">
        <v>69</v>
      </c>
      <c r="B72" s="76" t="s">
        <v>316</v>
      </c>
      <c r="C72" s="218" t="s">
        <v>288</v>
      </c>
      <c r="D72" s="86"/>
      <c r="E72" s="86">
        <v>53904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>
        <v>3132</v>
      </c>
      <c r="R72" s="86"/>
      <c r="S72" s="86"/>
      <c r="T72" s="86"/>
      <c r="U72" s="86">
        <v>2040</v>
      </c>
      <c r="V72" s="86">
        <v>18468</v>
      </c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>
        <v>4096</v>
      </c>
      <c r="AJ72" s="86"/>
      <c r="AK72" s="86"/>
      <c r="AL72" s="86"/>
      <c r="AM72" s="86">
        <v>4900</v>
      </c>
      <c r="AN72" s="86"/>
      <c r="AO72" s="86"/>
      <c r="AP72" s="86"/>
      <c r="AQ72" s="6"/>
      <c r="AR72" s="14">
        <f t="shared" si="69"/>
        <v>0</v>
      </c>
      <c r="AS72" s="14">
        <f t="shared" si="70"/>
        <v>53904</v>
      </c>
      <c r="AT72" s="14">
        <f t="shared" si="71"/>
        <v>0</v>
      </c>
      <c r="AU72" s="14">
        <f t="shared" si="72"/>
        <v>3132</v>
      </c>
      <c r="AV72" s="15">
        <f t="shared" si="73"/>
        <v>20508</v>
      </c>
      <c r="AW72" s="14">
        <f t="shared" si="74"/>
        <v>0</v>
      </c>
      <c r="AX72" s="14">
        <f t="shared" si="75"/>
        <v>0</v>
      </c>
      <c r="AY72" s="14">
        <f t="shared" si="76"/>
        <v>4096</v>
      </c>
      <c r="AZ72" s="14">
        <f t="shared" si="77"/>
        <v>4900</v>
      </c>
      <c r="BA72" s="16">
        <f t="shared" si="78"/>
        <v>86540</v>
      </c>
    </row>
    <row r="73" spans="1:53" s="48" customFormat="1" x14ac:dyDescent="0.25">
      <c r="A73" s="77">
        <v>70</v>
      </c>
      <c r="B73" s="206" t="s">
        <v>289</v>
      </c>
      <c r="C73" s="219" t="s">
        <v>290</v>
      </c>
      <c r="D73" s="86">
        <v>0</v>
      </c>
      <c r="E73" s="86">
        <v>1318</v>
      </c>
      <c r="F73" s="86">
        <v>73</v>
      </c>
      <c r="G73" s="86">
        <v>54</v>
      </c>
      <c r="H73" s="86">
        <v>53</v>
      </c>
      <c r="I73" s="86">
        <v>98</v>
      </c>
      <c r="J73" s="86">
        <v>12</v>
      </c>
      <c r="K73" s="86">
        <v>47</v>
      </c>
      <c r="L73" s="86">
        <v>32</v>
      </c>
      <c r="M73" s="86">
        <v>46</v>
      </c>
      <c r="N73" s="86">
        <v>64</v>
      </c>
      <c r="O73" s="86">
        <v>35</v>
      </c>
      <c r="P73" s="86">
        <v>57</v>
      </c>
      <c r="Q73" s="86">
        <v>136</v>
      </c>
      <c r="R73" s="86">
        <v>93</v>
      </c>
      <c r="S73" s="86">
        <v>32</v>
      </c>
      <c r="T73" s="86">
        <v>85</v>
      </c>
      <c r="U73" s="86">
        <v>76</v>
      </c>
      <c r="V73" s="86">
        <v>445</v>
      </c>
      <c r="W73" s="86">
        <v>58</v>
      </c>
      <c r="X73" s="86">
        <v>58</v>
      </c>
      <c r="Y73" s="86">
        <v>48</v>
      </c>
      <c r="Z73" s="86">
        <v>123</v>
      </c>
      <c r="AA73" s="86">
        <v>152</v>
      </c>
      <c r="AB73" s="86">
        <v>29</v>
      </c>
      <c r="AC73" s="86">
        <v>50</v>
      </c>
      <c r="AD73" s="86">
        <v>39</v>
      </c>
      <c r="AE73" s="86">
        <v>38</v>
      </c>
      <c r="AF73" s="86">
        <v>233</v>
      </c>
      <c r="AG73" s="86">
        <v>33</v>
      </c>
      <c r="AH73" s="86">
        <v>48</v>
      </c>
      <c r="AI73" s="86">
        <v>153</v>
      </c>
      <c r="AJ73" s="86">
        <v>15</v>
      </c>
      <c r="AK73" s="86">
        <v>51</v>
      </c>
      <c r="AL73" s="86">
        <v>25</v>
      </c>
      <c r="AM73" s="86">
        <v>157</v>
      </c>
      <c r="AN73" s="86">
        <v>28</v>
      </c>
      <c r="AO73" s="86">
        <v>29</v>
      </c>
      <c r="AP73" s="86">
        <v>62</v>
      </c>
      <c r="AQ73" s="6"/>
      <c r="AR73" s="14">
        <f t="shared" si="69"/>
        <v>0</v>
      </c>
      <c r="AS73" s="14">
        <f t="shared" si="70"/>
        <v>1733</v>
      </c>
      <c r="AT73" s="14">
        <f t="shared" si="71"/>
        <v>156</v>
      </c>
      <c r="AU73" s="14">
        <f t="shared" si="72"/>
        <v>346</v>
      </c>
      <c r="AV73" s="15">
        <f t="shared" si="73"/>
        <v>808</v>
      </c>
      <c r="AW73" s="14">
        <f t="shared" si="74"/>
        <v>308</v>
      </c>
      <c r="AX73" s="14">
        <f t="shared" si="75"/>
        <v>314</v>
      </c>
      <c r="AY73" s="14">
        <f t="shared" si="76"/>
        <v>244</v>
      </c>
      <c r="AZ73" s="14">
        <f t="shared" si="77"/>
        <v>276</v>
      </c>
      <c r="BA73" s="16">
        <f t="shared" si="78"/>
        <v>4185</v>
      </c>
    </row>
    <row r="74" spans="1:53" s="48" customFormat="1" x14ac:dyDescent="0.25">
      <c r="A74" s="77">
        <v>71</v>
      </c>
      <c r="B74" s="76" t="s">
        <v>291</v>
      </c>
      <c r="C74" s="219" t="s">
        <v>290</v>
      </c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6"/>
      <c r="AR74" s="14">
        <f t="shared" si="69"/>
        <v>0</v>
      </c>
      <c r="AS74" s="14">
        <f t="shared" si="70"/>
        <v>0</v>
      </c>
      <c r="AT74" s="14">
        <f t="shared" si="71"/>
        <v>0</v>
      </c>
      <c r="AU74" s="14">
        <f t="shared" si="72"/>
        <v>0</v>
      </c>
      <c r="AV74" s="15">
        <f t="shared" si="73"/>
        <v>0</v>
      </c>
      <c r="AW74" s="14">
        <f t="shared" si="74"/>
        <v>0</v>
      </c>
      <c r="AX74" s="14">
        <f t="shared" si="75"/>
        <v>0</v>
      </c>
      <c r="AY74" s="14">
        <f t="shared" si="76"/>
        <v>0</v>
      </c>
      <c r="AZ74" s="14">
        <f t="shared" si="77"/>
        <v>0</v>
      </c>
      <c r="BA74" s="16">
        <f t="shared" si="78"/>
        <v>0</v>
      </c>
    </row>
    <row r="75" spans="1:53" s="48" customFormat="1" x14ac:dyDescent="0.25">
      <c r="A75" s="77">
        <v>72</v>
      </c>
      <c r="B75" s="76" t="s">
        <v>292</v>
      </c>
      <c r="C75" s="219" t="s">
        <v>290</v>
      </c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6"/>
      <c r="AR75" s="14">
        <f t="shared" si="69"/>
        <v>0</v>
      </c>
      <c r="AS75" s="14">
        <f t="shared" si="70"/>
        <v>0</v>
      </c>
      <c r="AT75" s="14">
        <f t="shared" si="71"/>
        <v>0</v>
      </c>
      <c r="AU75" s="14">
        <f t="shared" si="72"/>
        <v>0</v>
      </c>
      <c r="AV75" s="15">
        <f t="shared" si="73"/>
        <v>0</v>
      </c>
      <c r="AW75" s="14">
        <f t="shared" si="74"/>
        <v>0</v>
      </c>
      <c r="AX75" s="14">
        <f t="shared" si="75"/>
        <v>0</v>
      </c>
      <c r="AY75" s="14">
        <f t="shared" si="76"/>
        <v>0</v>
      </c>
      <c r="AZ75" s="14">
        <f t="shared" si="77"/>
        <v>0</v>
      </c>
      <c r="BA75" s="16">
        <f t="shared" si="78"/>
        <v>0</v>
      </c>
    </row>
    <row r="76" spans="1:53" s="48" customFormat="1" x14ac:dyDescent="0.25">
      <c r="A76" s="77">
        <v>73</v>
      </c>
      <c r="B76" s="206" t="s">
        <v>293</v>
      </c>
      <c r="C76" s="219" t="s">
        <v>290</v>
      </c>
      <c r="D76" s="207">
        <v>0</v>
      </c>
      <c r="E76" s="207">
        <v>122.2</v>
      </c>
      <c r="F76" s="207">
        <v>6.8</v>
      </c>
      <c r="G76" s="207">
        <v>5</v>
      </c>
      <c r="H76" s="207">
        <v>5</v>
      </c>
      <c r="I76" s="207">
        <v>9.1999999999999993</v>
      </c>
      <c r="J76" s="207">
        <v>1</v>
      </c>
      <c r="K76" s="207">
        <v>4.4000000000000004</v>
      </c>
      <c r="L76" s="207">
        <v>3</v>
      </c>
      <c r="M76" s="207">
        <v>4.4000000000000004</v>
      </c>
      <c r="N76" s="207">
        <v>6.2</v>
      </c>
      <c r="O76" s="207">
        <v>3.4</v>
      </c>
      <c r="P76" s="207">
        <v>5.4</v>
      </c>
      <c r="Q76" s="207">
        <v>26.6</v>
      </c>
      <c r="R76" s="207">
        <v>8.6</v>
      </c>
      <c r="S76" s="207">
        <v>3</v>
      </c>
      <c r="T76" s="207">
        <v>7.8</v>
      </c>
      <c r="U76" s="207">
        <v>11.2</v>
      </c>
      <c r="V76" s="207">
        <v>124.6</v>
      </c>
      <c r="W76" s="207">
        <v>16.399999999999999</v>
      </c>
      <c r="X76" s="207">
        <v>16.399999999999999</v>
      </c>
      <c r="Y76" s="207">
        <v>13.6</v>
      </c>
      <c r="Z76" s="207">
        <v>34.4</v>
      </c>
      <c r="AA76" s="207">
        <v>14.2</v>
      </c>
      <c r="AB76" s="207">
        <v>2.8</v>
      </c>
      <c r="AC76" s="207">
        <v>4.8</v>
      </c>
      <c r="AD76" s="207">
        <v>3.8</v>
      </c>
      <c r="AE76" s="207">
        <v>3.6</v>
      </c>
      <c r="AF76" s="207">
        <v>23</v>
      </c>
      <c r="AG76" s="207">
        <v>3.4</v>
      </c>
      <c r="AH76" s="207">
        <v>4.8</v>
      </c>
      <c r="AI76" s="207">
        <v>26.4</v>
      </c>
      <c r="AJ76" s="207">
        <v>1.4</v>
      </c>
      <c r="AK76" s="207">
        <v>4.8</v>
      </c>
      <c r="AL76" s="207">
        <v>4.4000000000000004</v>
      </c>
      <c r="AM76" s="207">
        <v>14.6</v>
      </c>
      <c r="AN76" s="207">
        <v>2.6</v>
      </c>
      <c r="AO76" s="207">
        <v>2.6</v>
      </c>
      <c r="AP76" s="207">
        <v>5.8</v>
      </c>
      <c r="AQ76" s="6"/>
      <c r="AR76" s="14">
        <f t="shared" si="69"/>
        <v>0</v>
      </c>
      <c r="AS76" s="14">
        <f t="shared" si="70"/>
        <v>161</v>
      </c>
      <c r="AT76" s="14">
        <f t="shared" si="71"/>
        <v>15</v>
      </c>
      <c r="AU76" s="14">
        <f t="shared" si="72"/>
        <v>46</v>
      </c>
      <c r="AV76" s="15">
        <f t="shared" si="73"/>
        <v>216.6</v>
      </c>
      <c r="AW76" s="14">
        <f t="shared" si="74"/>
        <v>29.200000000000003</v>
      </c>
      <c r="AX76" s="14">
        <f t="shared" si="75"/>
        <v>31.2</v>
      </c>
      <c r="AY76" s="14">
        <f t="shared" si="76"/>
        <v>36.999999999999993</v>
      </c>
      <c r="AZ76" s="14">
        <f t="shared" si="77"/>
        <v>25.6</v>
      </c>
      <c r="BA76" s="16">
        <f t="shared" si="78"/>
        <v>561.6</v>
      </c>
    </row>
    <row r="77" spans="1:53" s="48" customFormat="1" x14ac:dyDescent="0.25">
      <c r="A77" s="77">
        <v>74</v>
      </c>
      <c r="B77" s="76" t="s">
        <v>294</v>
      </c>
      <c r="C77" s="219" t="s">
        <v>290</v>
      </c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6"/>
      <c r="AR77" s="14">
        <f t="shared" si="69"/>
        <v>0</v>
      </c>
      <c r="AS77" s="14">
        <f t="shared" si="70"/>
        <v>0</v>
      </c>
      <c r="AT77" s="14">
        <f t="shared" si="71"/>
        <v>0</v>
      </c>
      <c r="AU77" s="14">
        <f t="shared" si="72"/>
        <v>0</v>
      </c>
      <c r="AV77" s="15">
        <f t="shared" si="73"/>
        <v>0</v>
      </c>
      <c r="AW77" s="14">
        <f t="shared" si="74"/>
        <v>0</v>
      </c>
      <c r="AX77" s="14">
        <f t="shared" si="75"/>
        <v>0</v>
      </c>
      <c r="AY77" s="14">
        <f t="shared" si="76"/>
        <v>0</v>
      </c>
      <c r="AZ77" s="14">
        <f t="shared" si="77"/>
        <v>0</v>
      </c>
      <c r="BA77" s="16">
        <f t="shared" si="78"/>
        <v>0</v>
      </c>
    </row>
    <row r="78" spans="1:53" s="48" customFormat="1" x14ac:dyDescent="0.25">
      <c r="A78" s="77">
        <v>75</v>
      </c>
      <c r="B78" s="76" t="s">
        <v>317</v>
      </c>
      <c r="C78" s="211" t="s">
        <v>290</v>
      </c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6"/>
      <c r="AR78" s="14">
        <f t="shared" si="69"/>
        <v>0</v>
      </c>
      <c r="AS78" s="14">
        <f t="shared" si="70"/>
        <v>0</v>
      </c>
      <c r="AT78" s="14">
        <f t="shared" si="71"/>
        <v>0</v>
      </c>
      <c r="AU78" s="14">
        <f t="shared" si="72"/>
        <v>0</v>
      </c>
      <c r="AV78" s="15">
        <f t="shared" si="73"/>
        <v>0</v>
      </c>
      <c r="AW78" s="14">
        <f t="shared" si="74"/>
        <v>0</v>
      </c>
      <c r="AX78" s="14">
        <f t="shared" si="75"/>
        <v>0</v>
      </c>
      <c r="AY78" s="14">
        <f t="shared" si="76"/>
        <v>0</v>
      </c>
      <c r="AZ78" s="14">
        <f t="shared" si="77"/>
        <v>0</v>
      </c>
      <c r="BA78" s="16">
        <f t="shared" si="78"/>
        <v>0</v>
      </c>
    </row>
    <row r="79" spans="1:53" s="48" customFormat="1" x14ac:dyDescent="0.25">
      <c r="A79" s="77">
        <v>76</v>
      </c>
      <c r="B79" s="206" t="s">
        <v>295</v>
      </c>
      <c r="C79" s="211" t="s">
        <v>290</v>
      </c>
      <c r="D79" s="86">
        <v>0</v>
      </c>
      <c r="E79" s="86">
        <v>4</v>
      </c>
      <c r="F79" s="86">
        <v>6</v>
      </c>
      <c r="G79" s="86">
        <v>1</v>
      </c>
      <c r="H79" s="86">
        <v>2</v>
      </c>
      <c r="I79" s="86">
        <v>7</v>
      </c>
      <c r="J79" s="86">
        <v>0</v>
      </c>
      <c r="K79" s="86">
        <v>2</v>
      </c>
      <c r="L79" s="86">
        <v>5</v>
      </c>
      <c r="M79" s="86">
        <v>4</v>
      </c>
      <c r="N79" s="86">
        <v>5</v>
      </c>
      <c r="O79" s="86">
        <v>1</v>
      </c>
      <c r="P79" s="86">
        <v>1</v>
      </c>
      <c r="Q79" s="86">
        <v>3</v>
      </c>
      <c r="R79" s="86">
        <v>0</v>
      </c>
      <c r="S79" s="86">
        <v>0</v>
      </c>
      <c r="T79" s="86">
        <v>0</v>
      </c>
      <c r="U79" s="86">
        <v>4</v>
      </c>
      <c r="V79" s="86">
        <v>2</v>
      </c>
      <c r="W79" s="86">
        <v>1</v>
      </c>
      <c r="X79" s="86">
        <v>2</v>
      </c>
      <c r="Y79" s="86">
        <v>1</v>
      </c>
      <c r="Z79" s="86">
        <v>2</v>
      </c>
      <c r="AA79" s="86">
        <v>24</v>
      </c>
      <c r="AB79" s="86">
        <v>1</v>
      </c>
      <c r="AC79" s="86">
        <v>4</v>
      </c>
      <c r="AD79" s="86">
        <v>6</v>
      </c>
      <c r="AE79" s="86">
        <v>3</v>
      </c>
      <c r="AF79" s="86">
        <v>3</v>
      </c>
      <c r="AG79" s="86">
        <v>1</v>
      </c>
      <c r="AH79" s="86">
        <v>0</v>
      </c>
      <c r="AI79" s="86">
        <v>8</v>
      </c>
      <c r="AJ79" s="86">
        <v>3</v>
      </c>
      <c r="AK79" s="86">
        <v>4</v>
      </c>
      <c r="AL79" s="86">
        <v>3</v>
      </c>
      <c r="AM79" s="86">
        <v>3</v>
      </c>
      <c r="AN79" s="86">
        <v>1</v>
      </c>
      <c r="AO79" s="86">
        <v>1</v>
      </c>
      <c r="AP79" s="86">
        <v>6</v>
      </c>
      <c r="AQ79" s="6"/>
      <c r="AR79" s="14">
        <f t="shared" si="69"/>
        <v>0</v>
      </c>
      <c r="AS79" s="14">
        <f t="shared" si="70"/>
        <v>31</v>
      </c>
      <c r="AT79" s="14">
        <f t="shared" si="71"/>
        <v>7</v>
      </c>
      <c r="AU79" s="14">
        <f t="shared" si="72"/>
        <v>3</v>
      </c>
      <c r="AV79" s="15">
        <f t="shared" si="73"/>
        <v>12</v>
      </c>
      <c r="AW79" s="14">
        <f t="shared" si="74"/>
        <v>38</v>
      </c>
      <c r="AX79" s="14">
        <f t="shared" si="75"/>
        <v>4</v>
      </c>
      <c r="AY79" s="14">
        <f t="shared" si="76"/>
        <v>18</v>
      </c>
      <c r="AZ79" s="14">
        <f t="shared" si="77"/>
        <v>11</v>
      </c>
      <c r="BA79" s="16">
        <f t="shared" si="78"/>
        <v>124</v>
      </c>
    </row>
    <row r="80" spans="1:53" s="48" customFormat="1" x14ac:dyDescent="0.25">
      <c r="A80" s="77">
        <v>77</v>
      </c>
      <c r="B80" s="76" t="s">
        <v>296</v>
      </c>
      <c r="C80" s="211" t="s">
        <v>290</v>
      </c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6"/>
      <c r="AR80" s="14">
        <f t="shared" si="69"/>
        <v>0</v>
      </c>
      <c r="AS80" s="14">
        <f t="shared" si="70"/>
        <v>0</v>
      </c>
      <c r="AT80" s="14">
        <f t="shared" si="71"/>
        <v>0</v>
      </c>
      <c r="AU80" s="14">
        <f t="shared" si="72"/>
        <v>0</v>
      </c>
      <c r="AV80" s="15">
        <f t="shared" si="73"/>
        <v>0</v>
      </c>
      <c r="AW80" s="14">
        <f t="shared" si="74"/>
        <v>0</v>
      </c>
      <c r="AX80" s="14">
        <f t="shared" si="75"/>
        <v>0</v>
      </c>
      <c r="AY80" s="14">
        <f t="shared" si="76"/>
        <v>0</v>
      </c>
      <c r="AZ80" s="14">
        <f t="shared" si="77"/>
        <v>0</v>
      </c>
      <c r="BA80" s="16">
        <f t="shared" si="78"/>
        <v>0</v>
      </c>
    </row>
    <row r="81" spans="1:53" s="48" customFormat="1" x14ac:dyDescent="0.25">
      <c r="A81" s="77">
        <v>78</v>
      </c>
      <c r="B81" s="76" t="s">
        <v>297</v>
      </c>
      <c r="C81" s="211" t="s">
        <v>290</v>
      </c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6"/>
      <c r="AR81" s="14">
        <f t="shared" si="69"/>
        <v>0</v>
      </c>
      <c r="AS81" s="14">
        <f t="shared" si="70"/>
        <v>0</v>
      </c>
      <c r="AT81" s="14">
        <f t="shared" si="71"/>
        <v>0</v>
      </c>
      <c r="AU81" s="14">
        <f t="shared" si="72"/>
        <v>0</v>
      </c>
      <c r="AV81" s="15">
        <f t="shared" si="73"/>
        <v>0</v>
      </c>
      <c r="AW81" s="14">
        <f t="shared" si="74"/>
        <v>0</v>
      </c>
      <c r="AX81" s="14">
        <f t="shared" si="75"/>
        <v>0</v>
      </c>
      <c r="AY81" s="14">
        <f t="shared" si="76"/>
        <v>0</v>
      </c>
      <c r="AZ81" s="14">
        <f t="shared" si="77"/>
        <v>0</v>
      </c>
      <c r="BA81" s="16">
        <f t="shared" si="78"/>
        <v>0</v>
      </c>
    </row>
    <row r="82" spans="1:53" s="48" customFormat="1" x14ac:dyDescent="0.25">
      <c r="A82" s="77">
        <v>79</v>
      </c>
      <c r="B82" s="76" t="s">
        <v>298</v>
      </c>
      <c r="C82" s="211" t="s">
        <v>290</v>
      </c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6"/>
      <c r="AR82" s="14">
        <f t="shared" si="69"/>
        <v>0</v>
      </c>
      <c r="AS82" s="14">
        <f t="shared" si="70"/>
        <v>0</v>
      </c>
      <c r="AT82" s="14">
        <f t="shared" si="71"/>
        <v>0</v>
      </c>
      <c r="AU82" s="14">
        <f t="shared" si="72"/>
        <v>0</v>
      </c>
      <c r="AV82" s="15">
        <f t="shared" si="73"/>
        <v>0</v>
      </c>
      <c r="AW82" s="14">
        <f t="shared" si="74"/>
        <v>0</v>
      </c>
      <c r="AX82" s="14">
        <f t="shared" si="75"/>
        <v>0</v>
      </c>
      <c r="AY82" s="14">
        <f t="shared" si="76"/>
        <v>0</v>
      </c>
      <c r="AZ82" s="14">
        <f t="shared" si="77"/>
        <v>0</v>
      </c>
      <c r="BA82" s="16">
        <f t="shared" si="78"/>
        <v>0</v>
      </c>
    </row>
    <row r="83" spans="1:53" s="48" customFormat="1" x14ac:dyDescent="0.25">
      <c r="A83" s="77">
        <v>80</v>
      </c>
      <c r="B83" s="76" t="s">
        <v>299</v>
      </c>
      <c r="C83" s="211" t="s">
        <v>290</v>
      </c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6"/>
      <c r="AR83" s="14">
        <f t="shared" si="69"/>
        <v>0</v>
      </c>
      <c r="AS83" s="14">
        <f t="shared" si="70"/>
        <v>0</v>
      </c>
      <c r="AT83" s="14">
        <f t="shared" si="71"/>
        <v>0</v>
      </c>
      <c r="AU83" s="14">
        <f t="shared" si="72"/>
        <v>0</v>
      </c>
      <c r="AV83" s="15">
        <f t="shared" si="73"/>
        <v>0</v>
      </c>
      <c r="AW83" s="14">
        <f t="shared" si="74"/>
        <v>0</v>
      </c>
      <c r="AX83" s="14">
        <f t="shared" si="75"/>
        <v>0</v>
      </c>
      <c r="AY83" s="14">
        <f t="shared" si="76"/>
        <v>0</v>
      </c>
      <c r="AZ83" s="14">
        <f t="shared" si="77"/>
        <v>0</v>
      </c>
      <c r="BA83" s="16">
        <f t="shared" si="78"/>
        <v>0</v>
      </c>
    </row>
    <row r="84" spans="1:53" s="48" customFormat="1" ht="21.75" customHeight="1" x14ac:dyDescent="0.25">
      <c r="A84" s="220">
        <v>81</v>
      </c>
      <c r="B84" s="221" t="s">
        <v>318</v>
      </c>
      <c r="C84" s="211" t="s">
        <v>290</v>
      </c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6"/>
      <c r="AR84" s="14">
        <f t="shared" si="69"/>
        <v>0</v>
      </c>
      <c r="AS84" s="14">
        <f t="shared" si="70"/>
        <v>0</v>
      </c>
      <c r="AT84" s="14">
        <f t="shared" si="71"/>
        <v>0</v>
      </c>
      <c r="AU84" s="14">
        <f t="shared" si="72"/>
        <v>0</v>
      </c>
      <c r="AV84" s="15">
        <f t="shared" si="73"/>
        <v>0</v>
      </c>
      <c r="AW84" s="14">
        <f t="shared" si="74"/>
        <v>0</v>
      </c>
      <c r="AX84" s="14">
        <f t="shared" si="75"/>
        <v>0</v>
      </c>
      <c r="AY84" s="14">
        <f t="shared" si="76"/>
        <v>0</v>
      </c>
      <c r="AZ84" s="14">
        <f t="shared" si="77"/>
        <v>0</v>
      </c>
      <c r="BA84" s="16">
        <f t="shared" si="78"/>
        <v>0</v>
      </c>
    </row>
    <row r="85" spans="1:53" s="48" customFormat="1" ht="23.25" customHeight="1" x14ac:dyDescent="0.25">
      <c r="A85" s="220">
        <v>82</v>
      </c>
      <c r="B85" s="222" t="s">
        <v>300</v>
      </c>
      <c r="C85" s="211" t="s">
        <v>290</v>
      </c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6"/>
      <c r="AR85" s="14">
        <f t="shared" si="69"/>
        <v>0</v>
      </c>
      <c r="AS85" s="14">
        <f t="shared" si="70"/>
        <v>0</v>
      </c>
      <c r="AT85" s="14">
        <f t="shared" si="71"/>
        <v>0</v>
      </c>
      <c r="AU85" s="14">
        <f t="shared" si="72"/>
        <v>0</v>
      </c>
      <c r="AV85" s="15">
        <f t="shared" si="73"/>
        <v>0</v>
      </c>
      <c r="AW85" s="14">
        <f t="shared" si="74"/>
        <v>0</v>
      </c>
      <c r="AX85" s="14">
        <f t="shared" si="75"/>
        <v>0</v>
      </c>
      <c r="AY85" s="14">
        <f t="shared" si="76"/>
        <v>0</v>
      </c>
      <c r="AZ85" s="14">
        <f t="shared" si="77"/>
        <v>0</v>
      </c>
      <c r="BA85" s="16">
        <f t="shared" si="78"/>
        <v>0</v>
      </c>
    </row>
    <row r="86" spans="1:53" s="48" customFormat="1" x14ac:dyDescent="0.25">
      <c r="A86" s="77">
        <v>83</v>
      </c>
      <c r="B86" s="206" t="s">
        <v>301</v>
      </c>
      <c r="C86" s="211" t="s">
        <v>290</v>
      </c>
      <c r="D86" s="86">
        <v>0</v>
      </c>
      <c r="E86" s="86">
        <v>4</v>
      </c>
      <c r="F86" s="86">
        <v>6</v>
      </c>
      <c r="G86" s="86">
        <v>1</v>
      </c>
      <c r="H86" s="86">
        <v>2</v>
      </c>
      <c r="I86" s="86">
        <v>7</v>
      </c>
      <c r="J86" s="86">
        <v>0</v>
      </c>
      <c r="K86" s="86">
        <v>2</v>
      </c>
      <c r="L86" s="86">
        <v>5</v>
      </c>
      <c r="M86" s="86">
        <v>3</v>
      </c>
      <c r="N86" s="86">
        <v>5</v>
      </c>
      <c r="O86" s="86">
        <v>1</v>
      </c>
      <c r="P86" s="86">
        <v>1</v>
      </c>
      <c r="Q86" s="86">
        <v>3</v>
      </c>
      <c r="R86" s="86">
        <v>0</v>
      </c>
      <c r="S86" s="86">
        <v>0</v>
      </c>
      <c r="T86" s="86">
        <v>0</v>
      </c>
      <c r="U86" s="86">
        <v>4</v>
      </c>
      <c r="V86" s="86">
        <v>2</v>
      </c>
      <c r="W86" s="86">
        <v>1</v>
      </c>
      <c r="X86" s="86">
        <v>2</v>
      </c>
      <c r="Y86" s="86">
        <v>1</v>
      </c>
      <c r="Z86" s="86">
        <v>2</v>
      </c>
      <c r="AA86" s="86">
        <v>24</v>
      </c>
      <c r="AB86" s="86">
        <v>1</v>
      </c>
      <c r="AC86" s="86">
        <v>4</v>
      </c>
      <c r="AD86" s="86">
        <v>6</v>
      </c>
      <c r="AE86" s="86">
        <v>3</v>
      </c>
      <c r="AF86" s="86">
        <v>3</v>
      </c>
      <c r="AG86" s="86">
        <v>1</v>
      </c>
      <c r="AH86" s="86">
        <v>0</v>
      </c>
      <c r="AI86" s="86">
        <v>8</v>
      </c>
      <c r="AJ86" s="86">
        <v>4</v>
      </c>
      <c r="AK86" s="86">
        <v>3</v>
      </c>
      <c r="AL86" s="86">
        <v>4</v>
      </c>
      <c r="AM86" s="86">
        <v>3</v>
      </c>
      <c r="AN86" s="86">
        <v>1</v>
      </c>
      <c r="AO86" s="86">
        <v>1</v>
      </c>
      <c r="AP86" s="86">
        <v>6</v>
      </c>
      <c r="AQ86" s="6"/>
      <c r="AR86" s="14">
        <f t="shared" si="69"/>
        <v>0</v>
      </c>
      <c r="AS86" s="14">
        <f t="shared" si="70"/>
        <v>30</v>
      </c>
      <c r="AT86" s="14">
        <f t="shared" si="71"/>
        <v>7</v>
      </c>
      <c r="AU86" s="14">
        <f t="shared" si="72"/>
        <v>3</v>
      </c>
      <c r="AV86" s="15">
        <f t="shared" si="73"/>
        <v>12</v>
      </c>
      <c r="AW86" s="14">
        <f t="shared" si="74"/>
        <v>38</v>
      </c>
      <c r="AX86" s="14">
        <f t="shared" si="75"/>
        <v>4</v>
      </c>
      <c r="AY86" s="14">
        <f t="shared" si="76"/>
        <v>19</v>
      </c>
      <c r="AZ86" s="14">
        <f t="shared" si="77"/>
        <v>11</v>
      </c>
      <c r="BA86" s="16">
        <f t="shared" si="78"/>
        <v>124</v>
      </c>
    </row>
    <row r="87" spans="1:53" s="48" customFormat="1" x14ac:dyDescent="0.25">
      <c r="A87" s="77">
        <v>84</v>
      </c>
      <c r="B87" s="206" t="s">
        <v>304</v>
      </c>
      <c r="C87" s="211" t="s">
        <v>290</v>
      </c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6"/>
      <c r="AR87" s="14">
        <f t="shared" si="69"/>
        <v>0</v>
      </c>
      <c r="AS87" s="14">
        <f t="shared" si="70"/>
        <v>0</v>
      </c>
      <c r="AT87" s="14">
        <f t="shared" si="71"/>
        <v>0</v>
      </c>
      <c r="AU87" s="14">
        <f t="shared" si="72"/>
        <v>0</v>
      </c>
      <c r="AV87" s="15">
        <f t="shared" si="73"/>
        <v>0</v>
      </c>
      <c r="AW87" s="14">
        <f t="shared" si="74"/>
        <v>0</v>
      </c>
      <c r="AX87" s="14">
        <f t="shared" si="75"/>
        <v>0</v>
      </c>
      <c r="AY87" s="14">
        <f t="shared" si="76"/>
        <v>0</v>
      </c>
      <c r="AZ87" s="14">
        <f t="shared" si="77"/>
        <v>0</v>
      </c>
      <c r="BA87" s="16">
        <f t="shared" si="78"/>
        <v>0</v>
      </c>
    </row>
    <row r="88" spans="1:53" s="48" customFormat="1" x14ac:dyDescent="0.25">
      <c r="A88" s="77">
        <v>85</v>
      </c>
      <c r="B88" s="206" t="s">
        <v>302</v>
      </c>
      <c r="C88" s="211" t="s">
        <v>290</v>
      </c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6"/>
      <c r="AR88" s="14">
        <f t="shared" si="69"/>
        <v>0</v>
      </c>
      <c r="AS88" s="14">
        <f t="shared" si="70"/>
        <v>0</v>
      </c>
      <c r="AT88" s="14">
        <f t="shared" si="71"/>
        <v>0</v>
      </c>
      <c r="AU88" s="14">
        <f t="shared" si="72"/>
        <v>0</v>
      </c>
      <c r="AV88" s="15">
        <f t="shared" si="73"/>
        <v>0</v>
      </c>
      <c r="AW88" s="14">
        <f t="shared" si="74"/>
        <v>0</v>
      </c>
      <c r="AX88" s="14">
        <f t="shared" si="75"/>
        <v>0</v>
      </c>
      <c r="AY88" s="14">
        <f t="shared" si="76"/>
        <v>0</v>
      </c>
      <c r="AZ88" s="14">
        <f t="shared" si="77"/>
        <v>0</v>
      </c>
      <c r="BA88" s="16">
        <f t="shared" si="78"/>
        <v>0</v>
      </c>
    </row>
    <row r="89" spans="1:53" s="48" customFormat="1" x14ac:dyDescent="0.25">
      <c r="A89" s="77">
        <v>86</v>
      </c>
      <c r="B89" s="206" t="s">
        <v>303</v>
      </c>
      <c r="C89" s="211" t="s">
        <v>290</v>
      </c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6"/>
      <c r="AR89" s="14">
        <f t="shared" si="69"/>
        <v>0</v>
      </c>
      <c r="AS89" s="14">
        <f t="shared" si="70"/>
        <v>0</v>
      </c>
      <c r="AT89" s="14">
        <f t="shared" si="71"/>
        <v>0</v>
      </c>
      <c r="AU89" s="14">
        <f t="shared" si="72"/>
        <v>0</v>
      </c>
      <c r="AV89" s="15">
        <f t="shared" si="73"/>
        <v>0</v>
      </c>
      <c r="AW89" s="14">
        <f t="shared" si="74"/>
        <v>0</v>
      </c>
      <c r="AX89" s="14">
        <f t="shared" si="75"/>
        <v>0</v>
      </c>
      <c r="AY89" s="14">
        <f t="shared" si="76"/>
        <v>0</v>
      </c>
      <c r="AZ89" s="14">
        <f t="shared" si="77"/>
        <v>0</v>
      </c>
      <c r="BA89" s="16">
        <f t="shared" si="78"/>
        <v>0</v>
      </c>
    </row>
    <row r="90" spans="1:53" s="48" customFormat="1" x14ac:dyDescent="0.25">
      <c r="A90" s="77">
        <v>87</v>
      </c>
      <c r="B90" s="206" t="s">
        <v>305</v>
      </c>
      <c r="C90" s="211" t="s">
        <v>290</v>
      </c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6"/>
      <c r="AR90" s="14">
        <f t="shared" si="69"/>
        <v>0</v>
      </c>
      <c r="AS90" s="14">
        <f t="shared" si="70"/>
        <v>0</v>
      </c>
      <c r="AT90" s="14">
        <f t="shared" si="71"/>
        <v>0</v>
      </c>
      <c r="AU90" s="14">
        <f t="shared" si="72"/>
        <v>0</v>
      </c>
      <c r="AV90" s="15">
        <f t="shared" si="73"/>
        <v>0</v>
      </c>
      <c r="AW90" s="14">
        <f t="shared" si="74"/>
        <v>0</v>
      </c>
      <c r="AX90" s="14">
        <f t="shared" si="75"/>
        <v>0</v>
      </c>
      <c r="AY90" s="14">
        <f t="shared" si="76"/>
        <v>0</v>
      </c>
      <c r="AZ90" s="14">
        <f t="shared" si="77"/>
        <v>0</v>
      </c>
      <c r="BA90" s="16">
        <f t="shared" si="78"/>
        <v>0</v>
      </c>
    </row>
    <row r="91" spans="1:53" x14ac:dyDescent="0.25">
      <c r="A91" s="77">
        <v>88</v>
      </c>
      <c r="B91" s="194" t="s">
        <v>234</v>
      </c>
      <c r="C91" s="210" t="s">
        <v>249</v>
      </c>
      <c r="D91" s="207">
        <v>0</v>
      </c>
      <c r="E91" s="207">
        <v>950</v>
      </c>
      <c r="F91" s="207">
        <v>53</v>
      </c>
      <c r="G91" s="207">
        <v>39</v>
      </c>
      <c r="H91" s="207">
        <v>38</v>
      </c>
      <c r="I91" s="207">
        <v>71</v>
      </c>
      <c r="J91" s="207">
        <v>9</v>
      </c>
      <c r="K91" s="207">
        <v>34</v>
      </c>
      <c r="L91" s="207">
        <v>23</v>
      </c>
      <c r="M91" s="207">
        <v>33</v>
      </c>
      <c r="N91" s="207">
        <v>46</v>
      </c>
      <c r="O91" s="207">
        <v>25</v>
      </c>
      <c r="P91" s="207">
        <v>41</v>
      </c>
      <c r="Q91" s="207">
        <v>93</v>
      </c>
      <c r="R91" s="207">
        <v>67</v>
      </c>
      <c r="S91" s="207">
        <v>23</v>
      </c>
      <c r="T91" s="207">
        <v>61</v>
      </c>
      <c r="U91" s="207">
        <v>60</v>
      </c>
      <c r="V91" s="207">
        <v>322</v>
      </c>
      <c r="W91" s="207">
        <v>42</v>
      </c>
      <c r="X91" s="207">
        <v>42</v>
      </c>
      <c r="Y91" s="207">
        <v>35</v>
      </c>
      <c r="Z91" s="207">
        <v>89</v>
      </c>
      <c r="AA91" s="207">
        <v>108</v>
      </c>
      <c r="AB91" s="207">
        <v>21</v>
      </c>
      <c r="AC91" s="207">
        <v>36</v>
      </c>
      <c r="AD91" s="207">
        <v>28</v>
      </c>
      <c r="AE91" s="207">
        <v>27</v>
      </c>
      <c r="AF91" s="207">
        <v>168</v>
      </c>
      <c r="AG91" s="207">
        <v>24</v>
      </c>
      <c r="AH91" s="207">
        <v>35</v>
      </c>
      <c r="AI91" s="207">
        <v>110</v>
      </c>
      <c r="AJ91" s="207">
        <v>11</v>
      </c>
      <c r="AK91" s="207">
        <v>37</v>
      </c>
      <c r="AL91" s="207">
        <v>18</v>
      </c>
      <c r="AM91" s="207">
        <v>113</v>
      </c>
      <c r="AN91" s="207">
        <v>20</v>
      </c>
      <c r="AO91" s="207">
        <v>21</v>
      </c>
      <c r="AP91" s="207">
        <v>45</v>
      </c>
      <c r="AR91" s="14">
        <f t="shared" si="49"/>
        <v>0</v>
      </c>
      <c r="AS91" s="14">
        <f t="shared" si="50"/>
        <v>1250</v>
      </c>
      <c r="AT91" s="14">
        <f t="shared" si="51"/>
        <v>112</v>
      </c>
      <c r="AU91" s="14">
        <f t="shared" si="52"/>
        <v>244</v>
      </c>
      <c r="AV91" s="15">
        <f t="shared" si="53"/>
        <v>590</v>
      </c>
      <c r="AW91" s="14">
        <f t="shared" si="54"/>
        <v>220</v>
      </c>
      <c r="AX91" s="14">
        <f t="shared" si="55"/>
        <v>227</v>
      </c>
      <c r="AY91" s="14">
        <f t="shared" si="56"/>
        <v>176</v>
      </c>
      <c r="AZ91" s="14">
        <f t="shared" si="57"/>
        <v>199</v>
      </c>
      <c r="BA91" s="16">
        <f t="shared" si="58"/>
        <v>3018</v>
      </c>
    </row>
    <row r="92" spans="1:53" x14ac:dyDescent="0.25">
      <c r="A92" s="77">
        <v>89</v>
      </c>
      <c r="B92" s="194" t="s">
        <v>235</v>
      </c>
      <c r="C92" s="196" t="s">
        <v>249</v>
      </c>
      <c r="D92" s="207">
        <v>0</v>
      </c>
      <c r="E92" s="207">
        <v>950</v>
      </c>
      <c r="F92" s="207">
        <v>53</v>
      </c>
      <c r="G92" s="207">
        <v>39</v>
      </c>
      <c r="H92" s="207">
        <v>38</v>
      </c>
      <c r="I92" s="207">
        <v>71</v>
      </c>
      <c r="J92" s="207">
        <v>9</v>
      </c>
      <c r="K92" s="207">
        <v>34</v>
      </c>
      <c r="L92" s="207">
        <v>23</v>
      </c>
      <c r="M92" s="207">
        <v>33</v>
      </c>
      <c r="N92" s="207">
        <v>46</v>
      </c>
      <c r="O92" s="207">
        <v>25</v>
      </c>
      <c r="P92" s="207">
        <v>41</v>
      </c>
      <c r="Q92" s="207">
        <v>93</v>
      </c>
      <c r="R92" s="207">
        <v>67</v>
      </c>
      <c r="S92" s="207">
        <v>23</v>
      </c>
      <c r="T92" s="207">
        <v>61</v>
      </c>
      <c r="U92" s="207">
        <v>60</v>
      </c>
      <c r="V92" s="207">
        <v>322</v>
      </c>
      <c r="W92" s="207">
        <v>42</v>
      </c>
      <c r="X92" s="207">
        <v>42</v>
      </c>
      <c r="Y92" s="207">
        <v>35</v>
      </c>
      <c r="Z92" s="207">
        <v>89</v>
      </c>
      <c r="AA92" s="207">
        <v>108</v>
      </c>
      <c r="AB92" s="207">
        <v>21</v>
      </c>
      <c r="AC92" s="207">
        <v>36</v>
      </c>
      <c r="AD92" s="207">
        <v>28</v>
      </c>
      <c r="AE92" s="207">
        <v>27</v>
      </c>
      <c r="AF92" s="207">
        <v>168</v>
      </c>
      <c r="AG92" s="207">
        <v>24</v>
      </c>
      <c r="AH92" s="207">
        <v>35</v>
      </c>
      <c r="AI92" s="207">
        <v>110</v>
      </c>
      <c r="AJ92" s="207">
        <v>11</v>
      </c>
      <c r="AK92" s="207">
        <v>37</v>
      </c>
      <c r="AL92" s="207">
        <v>18</v>
      </c>
      <c r="AM92" s="207">
        <v>113</v>
      </c>
      <c r="AN92" s="207">
        <v>20</v>
      </c>
      <c r="AO92" s="207">
        <v>21</v>
      </c>
      <c r="AP92" s="207">
        <v>45</v>
      </c>
      <c r="AR92" s="14">
        <f t="shared" si="49"/>
        <v>0</v>
      </c>
      <c r="AS92" s="14">
        <f t="shared" si="50"/>
        <v>1250</v>
      </c>
      <c r="AT92" s="14">
        <f t="shared" si="51"/>
        <v>112</v>
      </c>
      <c r="AU92" s="14">
        <f t="shared" si="52"/>
        <v>244</v>
      </c>
      <c r="AV92" s="15">
        <f t="shared" si="53"/>
        <v>590</v>
      </c>
      <c r="AW92" s="14">
        <f t="shared" si="54"/>
        <v>220</v>
      </c>
      <c r="AX92" s="14">
        <f t="shared" si="55"/>
        <v>227</v>
      </c>
      <c r="AY92" s="14">
        <f t="shared" si="56"/>
        <v>176</v>
      </c>
      <c r="AZ92" s="14">
        <f t="shared" si="57"/>
        <v>199</v>
      </c>
      <c r="BA92" s="16">
        <f t="shared" si="58"/>
        <v>3018</v>
      </c>
    </row>
    <row r="93" spans="1:53" x14ac:dyDescent="0.25">
      <c r="A93" s="77">
        <v>90</v>
      </c>
      <c r="B93" s="194" t="s">
        <v>236</v>
      </c>
      <c r="C93" s="196" t="s">
        <v>249</v>
      </c>
      <c r="D93" s="207">
        <v>0</v>
      </c>
      <c r="E93" s="207">
        <v>950</v>
      </c>
      <c r="F93" s="207">
        <v>53</v>
      </c>
      <c r="G93" s="207">
        <v>39</v>
      </c>
      <c r="H93" s="207">
        <v>38</v>
      </c>
      <c r="I93" s="207">
        <v>71</v>
      </c>
      <c r="J93" s="207">
        <v>9</v>
      </c>
      <c r="K93" s="207">
        <v>34</v>
      </c>
      <c r="L93" s="207">
        <v>23</v>
      </c>
      <c r="M93" s="207">
        <v>33</v>
      </c>
      <c r="N93" s="207">
        <v>46</v>
      </c>
      <c r="O93" s="207">
        <v>25</v>
      </c>
      <c r="P93" s="207">
        <v>41</v>
      </c>
      <c r="Q93" s="207">
        <v>93</v>
      </c>
      <c r="R93" s="207">
        <v>67</v>
      </c>
      <c r="S93" s="207">
        <v>23</v>
      </c>
      <c r="T93" s="207">
        <v>61</v>
      </c>
      <c r="U93" s="207">
        <v>60</v>
      </c>
      <c r="V93" s="207">
        <v>322</v>
      </c>
      <c r="W93" s="207">
        <v>42</v>
      </c>
      <c r="X93" s="207">
        <v>42</v>
      </c>
      <c r="Y93" s="207">
        <v>35</v>
      </c>
      <c r="Z93" s="207">
        <v>89</v>
      </c>
      <c r="AA93" s="207">
        <v>108</v>
      </c>
      <c r="AB93" s="207">
        <v>21</v>
      </c>
      <c r="AC93" s="207">
        <v>36</v>
      </c>
      <c r="AD93" s="207">
        <v>28</v>
      </c>
      <c r="AE93" s="207">
        <v>27</v>
      </c>
      <c r="AF93" s="207">
        <v>168</v>
      </c>
      <c r="AG93" s="207">
        <v>24</v>
      </c>
      <c r="AH93" s="207">
        <v>35</v>
      </c>
      <c r="AI93" s="207">
        <v>110</v>
      </c>
      <c r="AJ93" s="207">
        <v>11</v>
      </c>
      <c r="AK93" s="207">
        <v>37</v>
      </c>
      <c r="AL93" s="207">
        <v>18</v>
      </c>
      <c r="AM93" s="207">
        <v>113</v>
      </c>
      <c r="AN93" s="207">
        <v>20</v>
      </c>
      <c r="AO93" s="207">
        <v>21</v>
      </c>
      <c r="AP93" s="207">
        <v>45</v>
      </c>
      <c r="AR93" s="14">
        <f t="shared" si="49"/>
        <v>0</v>
      </c>
      <c r="AS93" s="14">
        <f t="shared" si="50"/>
        <v>1250</v>
      </c>
      <c r="AT93" s="14">
        <f t="shared" si="51"/>
        <v>112</v>
      </c>
      <c r="AU93" s="14">
        <f t="shared" si="52"/>
        <v>244</v>
      </c>
      <c r="AV93" s="15">
        <f t="shared" si="53"/>
        <v>590</v>
      </c>
      <c r="AW93" s="14">
        <f t="shared" si="54"/>
        <v>220</v>
      </c>
      <c r="AX93" s="14">
        <f t="shared" si="55"/>
        <v>227</v>
      </c>
      <c r="AY93" s="14">
        <f t="shared" si="56"/>
        <v>176</v>
      </c>
      <c r="AZ93" s="14">
        <f t="shared" si="57"/>
        <v>199</v>
      </c>
      <c r="BA93" s="16">
        <f t="shared" si="58"/>
        <v>3018</v>
      </c>
    </row>
    <row r="94" spans="1:53" x14ac:dyDescent="0.25">
      <c r="A94" s="77">
        <v>91</v>
      </c>
      <c r="B94" s="194" t="s">
        <v>254</v>
      </c>
      <c r="C94" s="196" t="s">
        <v>249</v>
      </c>
      <c r="D94" s="207">
        <v>0</v>
      </c>
      <c r="E94" s="207">
        <v>773</v>
      </c>
      <c r="F94" s="207">
        <v>43</v>
      </c>
      <c r="G94" s="207">
        <v>32</v>
      </c>
      <c r="H94" s="207">
        <v>31</v>
      </c>
      <c r="I94" s="207">
        <v>58</v>
      </c>
      <c r="J94" s="207">
        <v>7</v>
      </c>
      <c r="K94" s="207">
        <v>28</v>
      </c>
      <c r="L94" s="207">
        <v>18</v>
      </c>
      <c r="M94" s="207">
        <v>27</v>
      </c>
      <c r="N94" s="207">
        <v>38</v>
      </c>
      <c r="O94" s="207">
        <v>21</v>
      </c>
      <c r="P94" s="207">
        <v>34</v>
      </c>
      <c r="Q94" s="207">
        <v>74</v>
      </c>
      <c r="R94" s="207">
        <v>54</v>
      </c>
      <c r="S94" s="207">
        <v>19</v>
      </c>
      <c r="T94" s="207">
        <v>49</v>
      </c>
      <c r="U94" s="207">
        <v>49</v>
      </c>
      <c r="V94" s="207">
        <v>263</v>
      </c>
      <c r="W94" s="207">
        <v>34</v>
      </c>
      <c r="X94" s="207">
        <v>35</v>
      </c>
      <c r="Y94" s="207">
        <v>28</v>
      </c>
      <c r="Z94" s="207">
        <v>72</v>
      </c>
      <c r="AA94" s="207">
        <v>87</v>
      </c>
      <c r="AB94" s="207">
        <v>17</v>
      </c>
      <c r="AC94" s="207">
        <v>30</v>
      </c>
      <c r="AD94" s="207">
        <v>23</v>
      </c>
      <c r="AE94" s="207">
        <v>22</v>
      </c>
      <c r="AF94" s="207">
        <v>137</v>
      </c>
      <c r="AG94" s="207">
        <v>20</v>
      </c>
      <c r="AH94" s="207">
        <v>28</v>
      </c>
      <c r="AI94" s="207">
        <v>90</v>
      </c>
      <c r="AJ94" s="207">
        <v>9</v>
      </c>
      <c r="AK94" s="207">
        <v>30</v>
      </c>
      <c r="AL94" s="207">
        <v>15</v>
      </c>
      <c r="AM94" s="207">
        <v>92</v>
      </c>
      <c r="AN94" s="207">
        <v>16</v>
      </c>
      <c r="AO94" s="207">
        <v>17</v>
      </c>
      <c r="AP94" s="207">
        <v>37</v>
      </c>
      <c r="AR94" s="14">
        <f t="shared" si="49"/>
        <v>0</v>
      </c>
      <c r="AS94" s="14">
        <f t="shared" si="50"/>
        <v>1017</v>
      </c>
      <c r="AT94" s="14">
        <f t="shared" si="51"/>
        <v>93</v>
      </c>
      <c r="AU94" s="14">
        <f t="shared" si="52"/>
        <v>196</v>
      </c>
      <c r="AV94" s="15">
        <f t="shared" si="53"/>
        <v>481</v>
      </c>
      <c r="AW94" s="14">
        <f t="shared" si="54"/>
        <v>179</v>
      </c>
      <c r="AX94" s="14">
        <f t="shared" si="55"/>
        <v>185</v>
      </c>
      <c r="AY94" s="14">
        <f t="shared" si="56"/>
        <v>144</v>
      </c>
      <c r="AZ94" s="14">
        <f t="shared" si="57"/>
        <v>162</v>
      </c>
      <c r="BA94" s="16">
        <f t="shared" si="58"/>
        <v>2457</v>
      </c>
    </row>
    <row r="95" spans="1:53" x14ac:dyDescent="0.25">
      <c r="A95" s="77">
        <v>92</v>
      </c>
      <c r="B95" s="194" t="s">
        <v>255</v>
      </c>
      <c r="C95" s="196" t="s">
        <v>249</v>
      </c>
      <c r="D95" s="207">
        <v>0</v>
      </c>
      <c r="E95" s="207">
        <v>858</v>
      </c>
      <c r="F95" s="207">
        <v>48</v>
      </c>
      <c r="G95" s="207">
        <v>35</v>
      </c>
      <c r="H95" s="207">
        <v>35</v>
      </c>
      <c r="I95" s="207">
        <v>64</v>
      </c>
      <c r="J95" s="207">
        <v>8</v>
      </c>
      <c r="K95" s="207">
        <v>31</v>
      </c>
      <c r="L95" s="207">
        <v>20</v>
      </c>
      <c r="M95" s="207">
        <v>30</v>
      </c>
      <c r="N95" s="207">
        <v>43</v>
      </c>
      <c r="O95" s="207">
        <v>24</v>
      </c>
      <c r="P95" s="207">
        <v>38</v>
      </c>
      <c r="Q95" s="207">
        <v>74</v>
      </c>
      <c r="R95" s="207">
        <v>60</v>
      </c>
      <c r="S95" s="207">
        <v>21</v>
      </c>
      <c r="T95" s="207">
        <v>55</v>
      </c>
      <c r="U95" s="207">
        <v>46</v>
      </c>
      <c r="V95" s="207">
        <v>298</v>
      </c>
      <c r="W95" s="207">
        <v>39</v>
      </c>
      <c r="X95" s="207">
        <v>40</v>
      </c>
      <c r="Y95" s="207">
        <v>32</v>
      </c>
      <c r="Z95" s="207">
        <v>82</v>
      </c>
      <c r="AA95" s="207">
        <v>99</v>
      </c>
      <c r="AB95" s="207">
        <v>19</v>
      </c>
      <c r="AC95" s="207">
        <v>34</v>
      </c>
      <c r="AD95" s="207">
        <v>26</v>
      </c>
      <c r="AE95" s="207">
        <v>25</v>
      </c>
      <c r="AF95" s="207">
        <v>145</v>
      </c>
      <c r="AG95" s="207">
        <v>21</v>
      </c>
      <c r="AH95" s="207">
        <v>30</v>
      </c>
      <c r="AI95" s="207">
        <v>104</v>
      </c>
      <c r="AJ95" s="207">
        <v>10</v>
      </c>
      <c r="AK95" s="207">
        <v>33</v>
      </c>
      <c r="AL95" s="207">
        <v>17</v>
      </c>
      <c r="AM95" s="207">
        <v>102</v>
      </c>
      <c r="AN95" s="207">
        <v>18</v>
      </c>
      <c r="AO95" s="207">
        <v>19</v>
      </c>
      <c r="AP95" s="207">
        <v>41</v>
      </c>
      <c r="AR95" s="14">
        <f t="shared" si="49"/>
        <v>0</v>
      </c>
      <c r="AS95" s="14">
        <f t="shared" si="50"/>
        <v>1129</v>
      </c>
      <c r="AT95" s="14">
        <f t="shared" si="51"/>
        <v>105</v>
      </c>
      <c r="AU95" s="14">
        <f t="shared" si="52"/>
        <v>210</v>
      </c>
      <c r="AV95" s="15">
        <f t="shared" si="53"/>
        <v>537</v>
      </c>
      <c r="AW95" s="14">
        <f t="shared" si="54"/>
        <v>203</v>
      </c>
      <c r="AX95" s="14">
        <f t="shared" si="55"/>
        <v>196</v>
      </c>
      <c r="AY95" s="14">
        <f t="shared" si="56"/>
        <v>164</v>
      </c>
      <c r="AZ95" s="14">
        <f t="shared" si="57"/>
        <v>180</v>
      </c>
      <c r="BA95" s="16">
        <f t="shared" si="58"/>
        <v>2724</v>
      </c>
    </row>
    <row r="96" spans="1:53" x14ac:dyDescent="0.25">
      <c r="A96" s="77">
        <v>93</v>
      </c>
      <c r="B96" s="194" t="s">
        <v>256</v>
      </c>
      <c r="C96" s="196" t="s">
        <v>249</v>
      </c>
      <c r="D96" s="207">
        <v>0</v>
      </c>
      <c r="E96" s="207">
        <v>1250</v>
      </c>
      <c r="F96" s="207"/>
      <c r="G96" s="207"/>
      <c r="H96" s="207"/>
      <c r="I96" s="207"/>
      <c r="J96" s="207"/>
      <c r="K96" s="207"/>
      <c r="L96" s="207"/>
      <c r="M96" s="207"/>
      <c r="N96" s="207">
        <v>71</v>
      </c>
      <c r="O96" s="207"/>
      <c r="P96" s="207">
        <v>41</v>
      </c>
      <c r="Q96" s="207">
        <v>244</v>
      </c>
      <c r="R96" s="207"/>
      <c r="S96" s="207"/>
      <c r="T96" s="207"/>
      <c r="U96" s="207">
        <v>60</v>
      </c>
      <c r="V96" s="207">
        <v>530</v>
      </c>
      <c r="W96" s="207"/>
      <c r="X96" s="207"/>
      <c r="Y96" s="207"/>
      <c r="Z96" s="207"/>
      <c r="AA96" s="207">
        <v>220</v>
      </c>
      <c r="AB96" s="207"/>
      <c r="AC96" s="207"/>
      <c r="AD96" s="207"/>
      <c r="AE96" s="207"/>
      <c r="AF96" s="207">
        <v>227</v>
      </c>
      <c r="AG96" s="207"/>
      <c r="AH96" s="207"/>
      <c r="AI96" s="207">
        <v>176</v>
      </c>
      <c r="AJ96" s="207"/>
      <c r="AK96" s="207"/>
      <c r="AL96" s="207"/>
      <c r="AM96" s="207">
        <v>199</v>
      </c>
      <c r="AN96" s="207"/>
      <c r="AO96" s="207"/>
      <c r="AP96" s="207"/>
      <c r="AR96" s="14">
        <f t="shared" si="49"/>
        <v>0</v>
      </c>
      <c r="AS96" s="14">
        <f t="shared" si="50"/>
        <v>1250</v>
      </c>
      <c r="AT96" s="14">
        <f t="shared" si="51"/>
        <v>112</v>
      </c>
      <c r="AU96" s="14">
        <f t="shared" si="52"/>
        <v>244</v>
      </c>
      <c r="AV96" s="15">
        <f t="shared" si="53"/>
        <v>590</v>
      </c>
      <c r="AW96" s="14">
        <f t="shared" si="54"/>
        <v>220</v>
      </c>
      <c r="AX96" s="14">
        <f t="shared" si="55"/>
        <v>227</v>
      </c>
      <c r="AY96" s="14">
        <f t="shared" si="56"/>
        <v>176</v>
      </c>
      <c r="AZ96" s="14">
        <f t="shared" si="57"/>
        <v>199</v>
      </c>
      <c r="BA96" s="16">
        <f t="shared" si="58"/>
        <v>3018</v>
      </c>
    </row>
    <row r="97" spans="1:53" x14ac:dyDescent="0.25">
      <c r="A97" s="77">
        <v>94</v>
      </c>
      <c r="B97" s="194" t="s">
        <v>237</v>
      </c>
      <c r="C97" s="196" t="s">
        <v>249</v>
      </c>
      <c r="D97" s="207">
        <v>0</v>
      </c>
      <c r="E97" s="207">
        <v>773</v>
      </c>
      <c r="F97" s="207">
        <v>43</v>
      </c>
      <c r="G97" s="207">
        <v>32</v>
      </c>
      <c r="H97" s="207">
        <v>31</v>
      </c>
      <c r="I97" s="207">
        <v>58</v>
      </c>
      <c r="J97" s="207">
        <v>7</v>
      </c>
      <c r="K97" s="207">
        <v>28</v>
      </c>
      <c r="L97" s="207">
        <v>18</v>
      </c>
      <c r="M97" s="207">
        <v>27</v>
      </c>
      <c r="N97" s="207">
        <v>38</v>
      </c>
      <c r="O97" s="207">
        <v>21</v>
      </c>
      <c r="P97" s="207">
        <v>34</v>
      </c>
      <c r="Q97" s="207">
        <v>74</v>
      </c>
      <c r="R97" s="207">
        <v>54</v>
      </c>
      <c r="S97" s="207">
        <v>19</v>
      </c>
      <c r="T97" s="207">
        <v>49</v>
      </c>
      <c r="U97" s="207">
        <v>49</v>
      </c>
      <c r="V97" s="207">
        <v>263</v>
      </c>
      <c r="W97" s="207">
        <v>34</v>
      </c>
      <c r="X97" s="207">
        <v>35</v>
      </c>
      <c r="Y97" s="207">
        <v>28</v>
      </c>
      <c r="Z97" s="207">
        <v>72</v>
      </c>
      <c r="AA97" s="207">
        <v>87</v>
      </c>
      <c r="AB97" s="207">
        <v>17</v>
      </c>
      <c r="AC97" s="207">
        <v>30</v>
      </c>
      <c r="AD97" s="207">
        <v>23</v>
      </c>
      <c r="AE97" s="207">
        <v>22</v>
      </c>
      <c r="AF97" s="207">
        <v>137</v>
      </c>
      <c r="AG97" s="207">
        <v>20</v>
      </c>
      <c r="AH97" s="207">
        <v>28</v>
      </c>
      <c r="AI97" s="207">
        <v>90</v>
      </c>
      <c r="AJ97" s="207">
        <v>9</v>
      </c>
      <c r="AK97" s="207">
        <v>30</v>
      </c>
      <c r="AL97" s="207">
        <v>15</v>
      </c>
      <c r="AM97" s="207">
        <v>92</v>
      </c>
      <c r="AN97" s="207">
        <v>16</v>
      </c>
      <c r="AO97" s="207">
        <v>17</v>
      </c>
      <c r="AP97" s="207">
        <v>37</v>
      </c>
      <c r="AR97" s="14">
        <f t="shared" si="49"/>
        <v>0</v>
      </c>
      <c r="AS97" s="14">
        <f t="shared" si="50"/>
        <v>1017</v>
      </c>
      <c r="AT97" s="14">
        <f t="shared" si="51"/>
        <v>93</v>
      </c>
      <c r="AU97" s="14">
        <f t="shared" si="52"/>
        <v>196</v>
      </c>
      <c r="AV97" s="15">
        <f t="shared" si="53"/>
        <v>481</v>
      </c>
      <c r="AW97" s="14">
        <f t="shared" si="54"/>
        <v>179</v>
      </c>
      <c r="AX97" s="14">
        <f t="shared" si="55"/>
        <v>185</v>
      </c>
      <c r="AY97" s="14">
        <f t="shared" si="56"/>
        <v>144</v>
      </c>
      <c r="AZ97" s="14">
        <f t="shared" si="57"/>
        <v>162</v>
      </c>
      <c r="BA97" s="16">
        <f t="shared" si="58"/>
        <v>2457</v>
      </c>
    </row>
    <row r="98" spans="1:53" x14ac:dyDescent="0.25">
      <c r="A98" s="77">
        <v>95</v>
      </c>
      <c r="B98" s="194" t="s">
        <v>238</v>
      </c>
      <c r="C98" s="196" t="s">
        <v>249</v>
      </c>
      <c r="D98" s="207">
        <v>0</v>
      </c>
      <c r="E98" s="207">
        <v>773</v>
      </c>
      <c r="F98" s="207">
        <v>43</v>
      </c>
      <c r="G98" s="207">
        <v>32</v>
      </c>
      <c r="H98" s="207">
        <v>31</v>
      </c>
      <c r="I98" s="207">
        <v>58</v>
      </c>
      <c r="J98" s="207">
        <v>7</v>
      </c>
      <c r="K98" s="207">
        <v>28</v>
      </c>
      <c r="L98" s="207">
        <v>18</v>
      </c>
      <c r="M98" s="207">
        <v>27</v>
      </c>
      <c r="N98" s="207">
        <v>38</v>
      </c>
      <c r="O98" s="207">
        <v>21</v>
      </c>
      <c r="P98" s="207">
        <v>34</v>
      </c>
      <c r="Q98" s="207">
        <v>74</v>
      </c>
      <c r="R98" s="207">
        <v>54</v>
      </c>
      <c r="S98" s="207">
        <v>19</v>
      </c>
      <c r="T98" s="207">
        <v>49</v>
      </c>
      <c r="U98" s="207">
        <v>49</v>
      </c>
      <c r="V98" s="207">
        <v>263</v>
      </c>
      <c r="W98" s="207">
        <v>34</v>
      </c>
      <c r="X98" s="207">
        <v>35</v>
      </c>
      <c r="Y98" s="207">
        <v>28</v>
      </c>
      <c r="Z98" s="207">
        <v>72</v>
      </c>
      <c r="AA98" s="207">
        <v>87</v>
      </c>
      <c r="AB98" s="207">
        <v>17</v>
      </c>
      <c r="AC98" s="207">
        <v>30</v>
      </c>
      <c r="AD98" s="207">
        <v>23</v>
      </c>
      <c r="AE98" s="207">
        <v>22</v>
      </c>
      <c r="AF98" s="207">
        <v>137</v>
      </c>
      <c r="AG98" s="207">
        <v>20</v>
      </c>
      <c r="AH98" s="207">
        <v>28</v>
      </c>
      <c r="AI98" s="207">
        <v>90</v>
      </c>
      <c r="AJ98" s="207">
        <v>9</v>
      </c>
      <c r="AK98" s="207">
        <v>30</v>
      </c>
      <c r="AL98" s="207">
        <v>15</v>
      </c>
      <c r="AM98" s="207">
        <v>92</v>
      </c>
      <c r="AN98" s="207">
        <v>16</v>
      </c>
      <c r="AO98" s="207">
        <v>17</v>
      </c>
      <c r="AP98" s="207">
        <v>37</v>
      </c>
      <c r="AR98" s="14">
        <f t="shared" si="49"/>
        <v>0</v>
      </c>
      <c r="AS98" s="14">
        <f t="shared" si="50"/>
        <v>1017</v>
      </c>
      <c r="AT98" s="14">
        <f t="shared" si="51"/>
        <v>93</v>
      </c>
      <c r="AU98" s="14">
        <f t="shared" si="52"/>
        <v>196</v>
      </c>
      <c r="AV98" s="15">
        <f t="shared" si="53"/>
        <v>481</v>
      </c>
      <c r="AW98" s="14">
        <f t="shared" si="54"/>
        <v>179</v>
      </c>
      <c r="AX98" s="14">
        <f t="shared" si="55"/>
        <v>185</v>
      </c>
      <c r="AY98" s="14">
        <f t="shared" si="56"/>
        <v>144</v>
      </c>
      <c r="AZ98" s="14">
        <f t="shared" si="57"/>
        <v>162</v>
      </c>
      <c r="BA98" s="16">
        <f t="shared" si="58"/>
        <v>2457</v>
      </c>
    </row>
    <row r="99" spans="1:53" x14ac:dyDescent="0.25">
      <c r="A99" s="77">
        <v>96</v>
      </c>
      <c r="B99" s="194" t="s">
        <v>239</v>
      </c>
      <c r="C99" s="196" t="s">
        <v>249</v>
      </c>
      <c r="D99" s="207">
        <v>0</v>
      </c>
      <c r="E99" s="207">
        <v>768</v>
      </c>
      <c r="F99" s="207">
        <v>43</v>
      </c>
      <c r="G99" s="207">
        <v>31</v>
      </c>
      <c r="H99" s="207">
        <v>31</v>
      </c>
      <c r="I99" s="207">
        <v>57</v>
      </c>
      <c r="J99" s="207">
        <v>7</v>
      </c>
      <c r="K99" s="207">
        <v>28</v>
      </c>
      <c r="L99" s="207">
        <v>18</v>
      </c>
      <c r="M99" s="207">
        <v>27</v>
      </c>
      <c r="N99" s="207">
        <v>40</v>
      </c>
      <c r="O99" s="207">
        <v>22</v>
      </c>
      <c r="P99" s="207">
        <v>35</v>
      </c>
      <c r="Q99" s="207">
        <v>59</v>
      </c>
      <c r="R99" s="207">
        <v>54</v>
      </c>
      <c r="S99" s="207">
        <v>19</v>
      </c>
      <c r="T99" s="207">
        <v>49</v>
      </c>
      <c r="U99" s="207">
        <v>34</v>
      </c>
      <c r="V99" s="207">
        <v>272</v>
      </c>
      <c r="W99" s="207">
        <v>36</v>
      </c>
      <c r="X99" s="207">
        <v>36</v>
      </c>
      <c r="Y99" s="207">
        <v>30</v>
      </c>
      <c r="Z99" s="207">
        <v>75</v>
      </c>
      <c r="AA99" s="207">
        <v>91</v>
      </c>
      <c r="AB99" s="207">
        <v>18</v>
      </c>
      <c r="AC99" s="207">
        <v>31</v>
      </c>
      <c r="AD99" s="207">
        <v>24</v>
      </c>
      <c r="AE99" s="207">
        <v>23</v>
      </c>
      <c r="AF99" s="207">
        <v>124</v>
      </c>
      <c r="AG99" s="207">
        <v>18</v>
      </c>
      <c r="AH99" s="207">
        <v>25</v>
      </c>
      <c r="AI99" s="207">
        <v>96</v>
      </c>
      <c r="AJ99" s="207">
        <v>9</v>
      </c>
      <c r="AK99" s="207">
        <v>30</v>
      </c>
      <c r="AL99" s="207">
        <v>16</v>
      </c>
      <c r="AM99" s="207">
        <v>91</v>
      </c>
      <c r="AN99" s="207">
        <v>16</v>
      </c>
      <c r="AO99" s="207">
        <v>17</v>
      </c>
      <c r="AP99" s="207">
        <v>36</v>
      </c>
      <c r="AR99" s="14">
        <f t="shared" si="49"/>
        <v>0</v>
      </c>
      <c r="AS99" s="14">
        <f t="shared" si="50"/>
        <v>1010</v>
      </c>
      <c r="AT99" s="14">
        <f t="shared" si="51"/>
        <v>97</v>
      </c>
      <c r="AU99" s="14">
        <f t="shared" si="52"/>
        <v>181</v>
      </c>
      <c r="AV99" s="15">
        <f t="shared" si="53"/>
        <v>483</v>
      </c>
      <c r="AW99" s="14">
        <f t="shared" si="54"/>
        <v>187</v>
      </c>
      <c r="AX99" s="14">
        <f t="shared" si="55"/>
        <v>167</v>
      </c>
      <c r="AY99" s="14">
        <f t="shared" si="56"/>
        <v>151</v>
      </c>
      <c r="AZ99" s="14">
        <f t="shared" si="57"/>
        <v>160</v>
      </c>
      <c r="BA99" s="16">
        <f t="shared" si="58"/>
        <v>2436</v>
      </c>
    </row>
    <row r="100" spans="1:53" x14ac:dyDescent="0.25">
      <c r="A100" s="77">
        <v>97</v>
      </c>
      <c r="B100" s="194" t="s">
        <v>240</v>
      </c>
      <c r="C100" s="196" t="s">
        <v>249</v>
      </c>
      <c r="D100" s="207">
        <v>0</v>
      </c>
      <c r="E100" s="207">
        <v>768</v>
      </c>
      <c r="F100" s="207">
        <v>43</v>
      </c>
      <c r="G100" s="207">
        <v>31</v>
      </c>
      <c r="H100" s="207">
        <v>31</v>
      </c>
      <c r="I100" s="207">
        <v>57</v>
      </c>
      <c r="J100" s="207">
        <v>7</v>
      </c>
      <c r="K100" s="207">
        <v>28</v>
      </c>
      <c r="L100" s="207">
        <v>18</v>
      </c>
      <c r="M100" s="207">
        <v>27</v>
      </c>
      <c r="N100" s="207">
        <v>40</v>
      </c>
      <c r="O100" s="207">
        <v>22</v>
      </c>
      <c r="P100" s="207">
        <v>35</v>
      </c>
      <c r="Q100" s="207">
        <v>59</v>
      </c>
      <c r="R100" s="207">
        <v>54</v>
      </c>
      <c r="S100" s="207">
        <v>19</v>
      </c>
      <c r="T100" s="207">
        <v>49</v>
      </c>
      <c r="U100" s="207">
        <v>34</v>
      </c>
      <c r="V100" s="207">
        <v>272</v>
      </c>
      <c r="W100" s="207">
        <v>36</v>
      </c>
      <c r="X100" s="207">
        <v>36</v>
      </c>
      <c r="Y100" s="207">
        <v>30</v>
      </c>
      <c r="Z100" s="207">
        <v>75</v>
      </c>
      <c r="AA100" s="207">
        <v>91</v>
      </c>
      <c r="AB100" s="207">
        <v>18</v>
      </c>
      <c r="AC100" s="207">
        <v>31</v>
      </c>
      <c r="AD100" s="207">
        <v>24</v>
      </c>
      <c r="AE100" s="207">
        <v>23</v>
      </c>
      <c r="AF100" s="207">
        <v>124</v>
      </c>
      <c r="AG100" s="207">
        <v>18</v>
      </c>
      <c r="AH100" s="207">
        <v>25</v>
      </c>
      <c r="AI100" s="207">
        <v>96</v>
      </c>
      <c r="AJ100" s="207">
        <v>9</v>
      </c>
      <c r="AK100" s="207">
        <v>30</v>
      </c>
      <c r="AL100" s="207">
        <v>16</v>
      </c>
      <c r="AM100" s="207">
        <v>91</v>
      </c>
      <c r="AN100" s="207">
        <v>16</v>
      </c>
      <c r="AO100" s="207">
        <v>17</v>
      </c>
      <c r="AP100" s="207">
        <v>36</v>
      </c>
      <c r="AR100" s="14">
        <f t="shared" si="49"/>
        <v>0</v>
      </c>
      <c r="AS100" s="14">
        <f t="shared" si="50"/>
        <v>1010</v>
      </c>
      <c r="AT100" s="14">
        <f t="shared" si="51"/>
        <v>97</v>
      </c>
      <c r="AU100" s="14">
        <f t="shared" si="52"/>
        <v>181</v>
      </c>
      <c r="AV100" s="15">
        <f t="shared" si="53"/>
        <v>483</v>
      </c>
      <c r="AW100" s="14">
        <f t="shared" si="54"/>
        <v>187</v>
      </c>
      <c r="AX100" s="14">
        <f t="shared" si="55"/>
        <v>167</v>
      </c>
      <c r="AY100" s="14">
        <f t="shared" si="56"/>
        <v>151</v>
      </c>
      <c r="AZ100" s="14">
        <f t="shared" si="57"/>
        <v>160</v>
      </c>
      <c r="BA100" s="16">
        <f t="shared" si="58"/>
        <v>2436</v>
      </c>
    </row>
    <row r="101" spans="1:53" x14ac:dyDescent="0.25">
      <c r="A101" s="77">
        <v>98</v>
      </c>
      <c r="B101" s="194" t="s">
        <v>257</v>
      </c>
      <c r="C101" s="196" t="s">
        <v>249</v>
      </c>
      <c r="D101" s="207">
        <v>0</v>
      </c>
      <c r="E101" s="207">
        <v>879</v>
      </c>
      <c r="F101" s="207">
        <v>49</v>
      </c>
      <c r="G101" s="207">
        <v>36</v>
      </c>
      <c r="H101" s="207">
        <v>35</v>
      </c>
      <c r="I101" s="207">
        <v>66</v>
      </c>
      <c r="J101" s="207">
        <v>9</v>
      </c>
      <c r="K101" s="207">
        <v>32</v>
      </c>
      <c r="L101" s="207">
        <v>21</v>
      </c>
      <c r="M101" s="207">
        <v>31</v>
      </c>
      <c r="N101" s="207">
        <v>47</v>
      </c>
      <c r="O101" s="207">
        <v>26</v>
      </c>
      <c r="P101" s="207">
        <v>42</v>
      </c>
      <c r="Q101" s="207">
        <v>78</v>
      </c>
      <c r="R101" s="207">
        <v>62</v>
      </c>
      <c r="S101" s="207">
        <v>22</v>
      </c>
      <c r="T101" s="207">
        <v>56</v>
      </c>
      <c r="U101" s="207">
        <v>23</v>
      </c>
      <c r="V101" s="207">
        <v>281</v>
      </c>
      <c r="W101" s="207">
        <v>37</v>
      </c>
      <c r="X101" s="207">
        <v>37</v>
      </c>
      <c r="Y101" s="207">
        <v>31</v>
      </c>
      <c r="Z101" s="207">
        <v>78</v>
      </c>
      <c r="AA101" s="207">
        <v>108</v>
      </c>
      <c r="AB101" s="207">
        <v>21</v>
      </c>
      <c r="AC101" s="207">
        <v>37</v>
      </c>
      <c r="AD101" s="207">
        <v>29</v>
      </c>
      <c r="AE101" s="207">
        <v>27</v>
      </c>
      <c r="AF101" s="207">
        <v>137</v>
      </c>
      <c r="AG101" s="207">
        <v>20</v>
      </c>
      <c r="AH101" s="207">
        <v>28</v>
      </c>
      <c r="AI101" s="207">
        <v>94</v>
      </c>
      <c r="AJ101" s="207">
        <v>11</v>
      </c>
      <c r="AK101" s="207">
        <v>34</v>
      </c>
      <c r="AL101" s="207">
        <v>16</v>
      </c>
      <c r="AM101" s="207">
        <v>105</v>
      </c>
      <c r="AN101" s="207">
        <v>18</v>
      </c>
      <c r="AO101" s="207">
        <v>19</v>
      </c>
      <c r="AP101" s="207">
        <v>42</v>
      </c>
      <c r="AR101" s="14">
        <f t="shared" si="49"/>
        <v>0</v>
      </c>
      <c r="AS101" s="14">
        <f t="shared" si="50"/>
        <v>1158</v>
      </c>
      <c r="AT101" s="14">
        <f t="shared" si="51"/>
        <v>115</v>
      </c>
      <c r="AU101" s="14">
        <f t="shared" si="52"/>
        <v>218</v>
      </c>
      <c r="AV101" s="15">
        <f t="shared" si="53"/>
        <v>487</v>
      </c>
      <c r="AW101" s="14">
        <f t="shared" si="54"/>
        <v>222</v>
      </c>
      <c r="AX101" s="14">
        <f t="shared" si="55"/>
        <v>185</v>
      </c>
      <c r="AY101" s="14">
        <f t="shared" si="56"/>
        <v>155</v>
      </c>
      <c r="AZ101" s="14">
        <f t="shared" si="57"/>
        <v>184</v>
      </c>
      <c r="BA101" s="16">
        <f t="shared" si="58"/>
        <v>2724</v>
      </c>
    </row>
    <row r="102" spans="1:53" x14ac:dyDescent="0.25">
      <c r="A102" s="77">
        <v>99</v>
      </c>
      <c r="B102" s="195" t="s">
        <v>258</v>
      </c>
      <c r="C102" s="212" t="s">
        <v>248</v>
      </c>
      <c r="D102" s="207">
        <v>0</v>
      </c>
      <c r="E102" s="207">
        <v>4074</v>
      </c>
      <c r="F102" s="207">
        <v>227</v>
      </c>
      <c r="G102" s="207">
        <v>167</v>
      </c>
      <c r="H102" s="207">
        <v>163</v>
      </c>
      <c r="I102" s="207">
        <v>304</v>
      </c>
      <c r="J102" s="207">
        <v>41</v>
      </c>
      <c r="K102" s="207">
        <v>148</v>
      </c>
      <c r="L102" s="207">
        <v>97</v>
      </c>
      <c r="M102" s="207">
        <v>143</v>
      </c>
      <c r="N102" s="207">
        <v>219</v>
      </c>
      <c r="O102" s="207">
        <v>120</v>
      </c>
      <c r="P102" s="207">
        <v>195</v>
      </c>
      <c r="Q102" s="207">
        <v>323</v>
      </c>
      <c r="R102" s="207">
        <v>286</v>
      </c>
      <c r="S102" s="207">
        <v>100</v>
      </c>
      <c r="T102" s="207">
        <v>260</v>
      </c>
      <c r="U102" s="207">
        <v>167</v>
      </c>
      <c r="V102" s="207">
        <v>1420</v>
      </c>
      <c r="W102" s="207">
        <v>187</v>
      </c>
      <c r="X102" s="207">
        <v>188</v>
      </c>
      <c r="Y102" s="207">
        <v>154</v>
      </c>
      <c r="Z102" s="207">
        <v>391</v>
      </c>
      <c r="AA102" s="207">
        <v>502</v>
      </c>
      <c r="AB102" s="207">
        <v>99</v>
      </c>
      <c r="AC102" s="207">
        <v>172</v>
      </c>
      <c r="AD102" s="207">
        <v>133</v>
      </c>
      <c r="AE102" s="207">
        <v>127</v>
      </c>
      <c r="AF102" s="207">
        <v>667</v>
      </c>
      <c r="AG102" s="207">
        <v>97</v>
      </c>
      <c r="AH102" s="207">
        <v>137</v>
      </c>
      <c r="AI102" s="207">
        <v>480</v>
      </c>
      <c r="AJ102" s="207">
        <v>50</v>
      </c>
      <c r="AK102" s="207">
        <v>158</v>
      </c>
      <c r="AL102" s="207">
        <v>81</v>
      </c>
      <c r="AM102" s="207">
        <v>485</v>
      </c>
      <c r="AN102" s="207">
        <v>84</v>
      </c>
      <c r="AO102" s="207">
        <v>89</v>
      </c>
      <c r="AP102" s="207">
        <v>193</v>
      </c>
      <c r="AR102" s="14">
        <f t="shared" si="49"/>
        <v>0</v>
      </c>
      <c r="AS102" s="14">
        <f t="shared" si="50"/>
        <v>5364</v>
      </c>
      <c r="AT102" s="14">
        <f t="shared" si="51"/>
        <v>534</v>
      </c>
      <c r="AU102" s="14">
        <f t="shared" si="52"/>
        <v>969</v>
      </c>
      <c r="AV102" s="15">
        <f t="shared" si="53"/>
        <v>2507</v>
      </c>
      <c r="AW102" s="14">
        <f t="shared" si="54"/>
        <v>1033</v>
      </c>
      <c r="AX102" s="14">
        <f t="shared" si="55"/>
        <v>901</v>
      </c>
      <c r="AY102" s="14">
        <f t="shared" si="56"/>
        <v>769</v>
      </c>
      <c r="AZ102" s="14">
        <f t="shared" si="57"/>
        <v>851</v>
      </c>
      <c r="BA102" s="16">
        <f t="shared" si="58"/>
        <v>12928</v>
      </c>
    </row>
    <row r="103" spans="1:53" x14ac:dyDescent="0.25">
      <c r="A103" s="77">
        <v>100</v>
      </c>
      <c r="B103" s="195" t="s">
        <v>259</v>
      </c>
      <c r="C103" s="212" t="s">
        <v>248</v>
      </c>
      <c r="D103" s="207">
        <v>0</v>
      </c>
      <c r="E103" s="207">
        <v>2374</v>
      </c>
      <c r="F103" s="207">
        <v>132</v>
      </c>
      <c r="G103" s="207">
        <v>97</v>
      </c>
      <c r="H103" s="207">
        <v>95</v>
      </c>
      <c r="I103" s="207">
        <v>177</v>
      </c>
      <c r="J103" s="207">
        <v>23</v>
      </c>
      <c r="K103" s="207">
        <v>86</v>
      </c>
      <c r="L103" s="207">
        <v>56</v>
      </c>
      <c r="M103" s="207">
        <v>83</v>
      </c>
      <c r="N103" s="207">
        <v>124</v>
      </c>
      <c r="O103" s="207">
        <v>68</v>
      </c>
      <c r="P103" s="207">
        <v>110</v>
      </c>
      <c r="Q103" s="207">
        <v>193</v>
      </c>
      <c r="R103" s="207">
        <v>166</v>
      </c>
      <c r="S103" s="207">
        <v>58</v>
      </c>
      <c r="T103" s="207">
        <v>151</v>
      </c>
      <c r="U103" s="207">
        <v>114</v>
      </c>
      <c r="V103" s="207">
        <v>823</v>
      </c>
      <c r="W103" s="207">
        <v>108</v>
      </c>
      <c r="X103" s="207">
        <v>109</v>
      </c>
      <c r="Y103" s="207">
        <v>89</v>
      </c>
      <c r="Z103" s="207">
        <v>226</v>
      </c>
      <c r="AA103" s="207">
        <v>284</v>
      </c>
      <c r="AB103" s="207">
        <v>56</v>
      </c>
      <c r="AC103" s="207">
        <v>97</v>
      </c>
      <c r="AD103" s="207">
        <v>75</v>
      </c>
      <c r="AE103" s="207">
        <v>72</v>
      </c>
      <c r="AF103" s="207">
        <v>405</v>
      </c>
      <c r="AG103" s="207">
        <v>59</v>
      </c>
      <c r="AH103" s="207">
        <v>83</v>
      </c>
      <c r="AI103" s="207">
        <v>286</v>
      </c>
      <c r="AJ103" s="207">
        <v>28</v>
      </c>
      <c r="AK103" s="207">
        <v>92</v>
      </c>
      <c r="AL103" s="207">
        <v>48</v>
      </c>
      <c r="AM103" s="207">
        <v>282</v>
      </c>
      <c r="AN103" s="207">
        <v>49</v>
      </c>
      <c r="AO103" s="207">
        <v>52</v>
      </c>
      <c r="AP103" s="207">
        <v>112</v>
      </c>
      <c r="AR103" s="14">
        <f t="shared" si="49"/>
        <v>0</v>
      </c>
      <c r="AS103" s="14">
        <f>+SUM(E103:M103)</f>
        <v>3123</v>
      </c>
      <c r="AT103" s="14">
        <f t="shared" si="51"/>
        <v>302</v>
      </c>
      <c r="AU103" s="14">
        <f t="shared" si="52"/>
        <v>568</v>
      </c>
      <c r="AV103" s="15">
        <f t="shared" si="53"/>
        <v>1469</v>
      </c>
      <c r="AW103" s="14">
        <f t="shared" si="54"/>
        <v>584</v>
      </c>
      <c r="AX103" s="14">
        <f t="shared" si="55"/>
        <v>547</v>
      </c>
      <c r="AY103" s="14">
        <f t="shared" si="56"/>
        <v>454</v>
      </c>
      <c r="AZ103" s="14">
        <f t="shared" si="57"/>
        <v>495</v>
      </c>
      <c r="BA103" s="16">
        <f t="shared" si="58"/>
        <v>7542</v>
      </c>
    </row>
    <row r="104" spans="1:53" x14ac:dyDescent="0.25">
      <c r="A104" s="77">
        <v>101</v>
      </c>
      <c r="B104" s="195" t="s">
        <v>260</v>
      </c>
      <c r="C104" s="212" t="s">
        <v>248</v>
      </c>
      <c r="D104" s="207">
        <v>0</v>
      </c>
      <c r="E104" s="207">
        <v>726.62</v>
      </c>
      <c r="F104" s="207">
        <v>40.419999999999995</v>
      </c>
      <c r="G104" s="207">
        <v>30.08</v>
      </c>
      <c r="H104" s="207">
        <v>29.139999999999997</v>
      </c>
      <c r="I104" s="207">
        <v>54.519999999999996</v>
      </c>
      <c r="J104" s="207">
        <v>6.58</v>
      </c>
      <c r="K104" s="207">
        <v>26.32</v>
      </c>
      <c r="L104" s="207">
        <v>16.919999999999998</v>
      </c>
      <c r="M104" s="207">
        <v>25.38</v>
      </c>
      <c r="N104" s="207">
        <v>35.72</v>
      </c>
      <c r="O104" s="207">
        <v>19.739999999999998</v>
      </c>
      <c r="P104" s="207">
        <v>31.959999999999997</v>
      </c>
      <c r="Q104" s="207">
        <v>69.56</v>
      </c>
      <c r="R104" s="207">
        <v>50.76</v>
      </c>
      <c r="S104" s="207">
        <v>17.86</v>
      </c>
      <c r="T104" s="207">
        <v>46.059999999999995</v>
      </c>
      <c r="U104" s="207">
        <v>46.059999999999995</v>
      </c>
      <c r="V104" s="207">
        <v>247.22</v>
      </c>
      <c r="W104" s="207">
        <v>31.959999999999997</v>
      </c>
      <c r="X104" s="207">
        <v>32.9</v>
      </c>
      <c r="Y104" s="207">
        <v>26.32</v>
      </c>
      <c r="Z104" s="207">
        <v>67.679999999999993</v>
      </c>
      <c r="AA104" s="207">
        <v>81.78</v>
      </c>
      <c r="AB104" s="207">
        <v>15.979999999999999</v>
      </c>
      <c r="AC104" s="207">
        <v>28.2</v>
      </c>
      <c r="AD104" s="207">
        <v>21.619999999999997</v>
      </c>
      <c r="AE104" s="207">
        <v>20.68</v>
      </c>
      <c r="AF104" s="207">
        <v>128.78</v>
      </c>
      <c r="AG104" s="207">
        <v>18.799999999999997</v>
      </c>
      <c r="AH104" s="207">
        <v>26.32</v>
      </c>
      <c r="AI104" s="207">
        <v>84.6</v>
      </c>
      <c r="AJ104" s="207">
        <v>8.4599999999999991</v>
      </c>
      <c r="AK104" s="207">
        <v>28.2</v>
      </c>
      <c r="AL104" s="207">
        <v>14.1</v>
      </c>
      <c r="AM104" s="207">
        <v>86.47999999999999</v>
      </c>
      <c r="AN104" s="207">
        <v>15.04</v>
      </c>
      <c r="AO104" s="207">
        <v>15.979999999999999</v>
      </c>
      <c r="AP104" s="207">
        <v>34.78</v>
      </c>
      <c r="AR104" s="14">
        <f t="shared" si="49"/>
        <v>0</v>
      </c>
      <c r="AS104" s="14">
        <f t="shared" si="50"/>
        <v>955.98</v>
      </c>
      <c r="AT104" s="14">
        <f t="shared" si="51"/>
        <v>87.419999999999987</v>
      </c>
      <c r="AU104" s="14">
        <f t="shared" si="52"/>
        <v>184.24</v>
      </c>
      <c r="AV104" s="15">
        <f t="shared" si="53"/>
        <v>452.13999999999993</v>
      </c>
      <c r="AW104" s="14">
        <f t="shared" si="54"/>
        <v>168.26000000000002</v>
      </c>
      <c r="AX104" s="14">
        <f t="shared" si="55"/>
        <v>173.89999999999998</v>
      </c>
      <c r="AY104" s="14">
        <f t="shared" si="56"/>
        <v>135.35999999999999</v>
      </c>
      <c r="AZ104" s="14">
        <f t="shared" si="57"/>
        <v>152.27999999999997</v>
      </c>
      <c r="BA104" s="16">
        <f t="shared" si="58"/>
        <v>2309.58</v>
      </c>
    </row>
    <row r="105" spans="1:53" x14ac:dyDescent="0.25">
      <c r="A105" s="77">
        <v>102</v>
      </c>
      <c r="B105" s="195" t="s">
        <v>261</v>
      </c>
      <c r="C105" s="212" t="s">
        <v>248</v>
      </c>
      <c r="D105" s="207">
        <v>0</v>
      </c>
      <c r="E105" s="207">
        <v>256.63600000000002</v>
      </c>
      <c r="F105" s="207">
        <v>14.276000000000002</v>
      </c>
      <c r="G105" s="207">
        <v>10.624000000000001</v>
      </c>
      <c r="H105" s="207">
        <v>10.292</v>
      </c>
      <c r="I105" s="207">
        <v>19.256</v>
      </c>
      <c r="J105" s="207">
        <v>2.3240000000000003</v>
      </c>
      <c r="K105" s="207">
        <v>9.2960000000000012</v>
      </c>
      <c r="L105" s="207">
        <v>5.976</v>
      </c>
      <c r="M105" s="207">
        <v>8.9640000000000004</v>
      </c>
      <c r="N105" s="207">
        <v>12.616000000000001</v>
      </c>
      <c r="O105" s="207">
        <v>6.9720000000000004</v>
      </c>
      <c r="P105" s="207">
        <v>11.288</v>
      </c>
      <c r="Q105" s="207">
        <v>24.568000000000001</v>
      </c>
      <c r="R105" s="207">
        <v>17.928000000000001</v>
      </c>
      <c r="S105" s="207">
        <v>6.3080000000000007</v>
      </c>
      <c r="T105" s="207">
        <v>16.268000000000001</v>
      </c>
      <c r="U105" s="207">
        <v>16.268000000000001</v>
      </c>
      <c r="V105" s="207">
        <v>87.316000000000003</v>
      </c>
      <c r="W105" s="207">
        <v>11.288</v>
      </c>
      <c r="X105" s="207">
        <v>11.620000000000001</v>
      </c>
      <c r="Y105" s="207">
        <v>9.2960000000000012</v>
      </c>
      <c r="Z105" s="207">
        <v>23.904</v>
      </c>
      <c r="AA105" s="207">
        <v>28.884</v>
      </c>
      <c r="AB105" s="207">
        <v>5.6440000000000001</v>
      </c>
      <c r="AC105" s="207">
        <v>9.9600000000000009</v>
      </c>
      <c r="AD105" s="207">
        <v>7.6360000000000001</v>
      </c>
      <c r="AE105" s="207">
        <v>7.3040000000000003</v>
      </c>
      <c r="AF105" s="207">
        <v>45.484000000000002</v>
      </c>
      <c r="AG105" s="207">
        <v>6.6400000000000006</v>
      </c>
      <c r="AH105" s="207">
        <v>9.2960000000000012</v>
      </c>
      <c r="AI105" s="207">
        <v>29.880000000000003</v>
      </c>
      <c r="AJ105" s="207">
        <v>2.988</v>
      </c>
      <c r="AK105" s="207">
        <v>9.9600000000000009</v>
      </c>
      <c r="AL105" s="207">
        <v>4.9800000000000004</v>
      </c>
      <c r="AM105" s="207">
        <v>30.544</v>
      </c>
      <c r="AN105" s="207">
        <v>5.3120000000000003</v>
      </c>
      <c r="AO105" s="207">
        <v>5.6440000000000001</v>
      </c>
      <c r="AP105" s="207">
        <v>12.284000000000001</v>
      </c>
      <c r="AR105" s="14">
        <f t="shared" si="49"/>
        <v>0</v>
      </c>
      <c r="AS105" s="14">
        <f t="shared" si="50"/>
        <v>337.64400000000006</v>
      </c>
      <c r="AT105" s="14">
        <f t="shared" si="51"/>
        <v>30.876000000000001</v>
      </c>
      <c r="AU105" s="14">
        <f t="shared" si="52"/>
        <v>65.072000000000003</v>
      </c>
      <c r="AV105" s="15">
        <f t="shared" si="53"/>
        <v>159.69200000000001</v>
      </c>
      <c r="AW105" s="14">
        <f t="shared" si="54"/>
        <v>59.428000000000004</v>
      </c>
      <c r="AX105" s="14">
        <f t="shared" si="55"/>
        <v>61.42</v>
      </c>
      <c r="AY105" s="14">
        <f t="shared" si="56"/>
        <v>47.808000000000007</v>
      </c>
      <c r="AZ105" s="14">
        <f t="shared" si="57"/>
        <v>53.783999999999999</v>
      </c>
      <c r="BA105" s="16">
        <f t="shared" si="58"/>
        <v>815.72400000000005</v>
      </c>
    </row>
    <row r="106" spans="1:53" x14ac:dyDescent="0.25">
      <c r="A106" s="77">
        <v>103</v>
      </c>
      <c r="B106" s="195" t="s">
        <v>262</v>
      </c>
      <c r="C106" s="212" t="s">
        <v>248</v>
      </c>
      <c r="D106" s="207">
        <v>0</v>
      </c>
      <c r="E106" s="207">
        <v>563.94100000000003</v>
      </c>
      <c r="F106" s="207">
        <v>31.142000000000003</v>
      </c>
      <c r="G106" s="207">
        <v>23.018000000000001</v>
      </c>
      <c r="H106" s="207">
        <v>22.341000000000001</v>
      </c>
      <c r="I106" s="207">
        <v>41.974000000000004</v>
      </c>
      <c r="J106" s="207">
        <v>6.093</v>
      </c>
      <c r="K106" s="207">
        <v>20.310000000000002</v>
      </c>
      <c r="L106" s="207">
        <v>13.540000000000001</v>
      </c>
      <c r="M106" s="207">
        <v>19.633000000000003</v>
      </c>
      <c r="N106" s="207">
        <v>31.142000000000003</v>
      </c>
      <c r="O106" s="207">
        <v>16.925000000000001</v>
      </c>
      <c r="P106" s="207">
        <v>27.757000000000001</v>
      </c>
      <c r="Q106" s="207">
        <v>40.620000000000005</v>
      </c>
      <c r="R106" s="207">
        <v>39.266000000000005</v>
      </c>
      <c r="S106" s="207">
        <v>13.540000000000001</v>
      </c>
      <c r="T106" s="207">
        <v>35.881</v>
      </c>
      <c r="U106" s="207">
        <v>20.987000000000002</v>
      </c>
      <c r="V106" s="207">
        <v>194.976</v>
      </c>
      <c r="W106" s="207">
        <v>25.726000000000003</v>
      </c>
      <c r="X106" s="207">
        <v>25.726000000000003</v>
      </c>
      <c r="Y106" s="207">
        <v>20.987000000000002</v>
      </c>
      <c r="Z106" s="207">
        <v>53.483000000000004</v>
      </c>
      <c r="AA106" s="207">
        <v>71.762</v>
      </c>
      <c r="AB106" s="207">
        <v>14.217000000000001</v>
      </c>
      <c r="AC106" s="207">
        <v>24.372</v>
      </c>
      <c r="AD106" s="207">
        <v>18.956000000000003</v>
      </c>
      <c r="AE106" s="207">
        <v>18.279</v>
      </c>
      <c r="AF106" s="207">
        <v>97.488</v>
      </c>
      <c r="AG106" s="207">
        <v>14.217000000000001</v>
      </c>
      <c r="AH106" s="207">
        <v>20.310000000000002</v>
      </c>
      <c r="AI106" s="207">
        <v>67.7</v>
      </c>
      <c r="AJ106" s="207">
        <v>6.7700000000000005</v>
      </c>
      <c r="AK106" s="207">
        <v>21.664000000000001</v>
      </c>
      <c r="AL106" s="207">
        <v>11.509</v>
      </c>
      <c r="AM106" s="207">
        <v>67.02300000000001</v>
      </c>
      <c r="AN106" s="207">
        <v>11.509</v>
      </c>
      <c r="AO106" s="207">
        <v>12.186</v>
      </c>
      <c r="AP106" s="207">
        <v>26.403000000000002</v>
      </c>
      <c r="AR106" s="14">
        <f t="shared" si="49"/>
        <v>0</v>
      </c>
      <c r="AS106" s="14">
        <f t="shared" si="50"/>
        <v>741.99200000000019</v>
      </c>
      <c r="AT106" s="14">
        <f t="shared" si="51"/>
        <v>75.824000000000012</v>
      </c>
      <c r="AU106" s="14">
        <f t="shared" si="52"/>
        <v>129.30700000000002</v>
      </c>
      <c r="AV106" s="15">
        <f t="shared" si="53"/>
        <v>341.88500000000005</v>
      </c>
      <c r="AW106" s="14">
        <f t="shared" si="54"/>
        <v>147.58600000000001</v>
      </c>
      <c r="AX106" s="14">
        <f t="shared" si="55"/>
        <v>132.01499999999999</v>
      </c>
      <c r="AY106" s="14">
        <f t="shared" si="56"/>
        <v>107.643</v>
      </c>
      <c r="AZ106" s="14">
        <f t="shared" si="57"/>
        <v>117.12100000000002</v>
      </c>
      <c r="BA106" s="16">
        <f t="shared" si="58"/>
        <v>1793.3730000000005</v>
      </c>
    </row>
    <row r="107" spans="1:53" x14ac:dyDescent="0.25">
      <c r="A107" s="77">
        <v>104</v>
      </c>
      <c r="B107" s="195" t="s">
        <v>263</v>
      </c>
      <c r="C107" s="212" t="s">
        <v>248</v>
      </c>
      <c r="D107" s="207">
        <v>0</v>
      </c>
      <c r="E107" s="207">
        <v>1255.2650000000001</v>
      </c>
      <c r="F107" s="207">
        <v>69.756</v>
      </c>
      <c r="G107" s="207">
        <v>51.188000000000009</v>
      </c>
      <c r="H107" s="207">
        <v>50.179000000000002</v>
      </c>
      <c r="I107" s="207">
        <v>93.492000000000004</v>
      </c>
      <c r="J107" s="207">
        <v>12.379</v>
      </c>
      <c r="K107" s="207">
        <v>45.454000000000001</v>
      </c>
      <c r="L107" s="207">
        <v>29.704000000000001</v>
      </c>
      <c r="M107" s="207">
        <v>43.879000000000005</v>
      </c>
      <c r="N107" s="207">
        <v>66.39800000000001</v>
      </c>
      <c r="O107" s="207">
        <v>36.349000000000004</v>
      </c>
      <c r="P107" s="207">
        <v>58.855000000000004</v>
      </c>
      <c r="Q107" s="207">
        <v>98.582000000000008</v>
      </c>
      <c r="R107" s="207">
        <v>87.75800000000001</v>
      </c>
      <c r="S107" s="207">
        <v>30.602000000000004</v>
      </c>
      <c r="T107" s="207">
        <v>79.88300000000001</v>
      </c>
      <c r="U107" s="207">
        <v>56.499000000000009</v>
      </c>
      <c r="V107" s="207">
        <v>436.24400000000003</v>
      </c>
      <c r="W107" s="207">
        <v>57.39</v>
      </c>
      <c r="X107" s="207">
        <v>57.722000000000008</v>
      </c>
      <c r="Y107" s="207">
        <v>47.262999999999998</v>
      </c>
      <c r="Z107" s="207">
        <v>119.837</v>
      </c>
      <c r="AA107" s="207">
        <v>152.15199999999999</v>
      </c>
      <c r="AB107" s="207">
        <v>30.048999999999999</v>
      </c>
      <c r="AC107" s="207">
        <v>51.878000000000007</v>
      </c>
      <c r="AD107" s="207">
        <v>40.176000000000009</v>
      </c>
      <c r="AE107" s="207">
        <v>38.600999999999999</v>
      </c>
      <c r="AF107" s="207">
        <v>213.15600000000003</v>
      </c>
      <c r="AG107" s="207">
        <v>31.045000000000002</v>
      </c>
      <c r="AH107" s="207">
        <v>43.756000000000007</v>
      </c>
      <c r="AI107" s="207">
        <v>151.916</v>
      </c>
      <c r="AJ107" s="207">
        <v>14.852</v>
      </c>
      <c r="AK107" s="207">
        <v>48.604000000000006</v>
      </c>
      <c r="AL107" s="207">
        <v>25.545000000000002</v>
      </c>
      <c r="AM107" s="207">
        <v>149.07300000000004</v>
      </c>
      <c r="AN107" s="207">
        <v>25.877000000000002</v>
      </c>
      <c r="AO107" s="207">
        <v>27.451999999999998</v>
      </c>
      <c r="AP107" s="207">
        <v>59.063000000000002</v>
      </c>
      <c r="AR107" s="14">
        <f t="shared" si="49"/>
        <v>0</v>
      </c>
      <c r="AS107" s="14">
        <f t="shared" si="50"/>
        <v>1651.296</v>
      </c>
      <c r="AT107" s="14">
        <f t="shared" si="51"/>
        <v>161.60200000000003</v>
      </c>
      <c r="AU107" s="14">
        <f t="shared" si="52"/>
        <v>296.82500000000005</v>
      </c>
      <c r="AV107" s="15">
        <f t="shared" si="53"/>
        <v>774.95500000000004</v>
      </c>
      <c r="AW107" s="14">
        <f t="shared" si="54"/>
        <v>312.85599999999999</v>
      </c>
      <c r="AX107" s="14">
        <f t="shared" si="55"/>
        <v>287.95700000000005</v>
      </c>
      <c r="AY107" s="14">
        <f t="shared" si="56"/>
        <v>240.91700000000003</v>
      </c>
      <c r="AZ107" s="14">
        <f t="shared" si="57"/>
        <v>261.46500000000003</v>
      </c>
      <c r="BA107" s="16">
        <f t="shared" si="58"/>
        <v>3987.8729999999996</v>
      </c>
    </row>
    <row r="108" spans="1:53" x14ac:dyDescent="0.25">
      <c r="A108" s="77">
        <v>105</v>
      </c>
      <c r="B108" s="195" t="s">
        <v>241</v>
      </c>
      <c r="C108" s="212" t="s">
        <v>248</v>
      </c>
      <c r="D108" s="207">
        <v>0</v>
      </c>
      <c r="E108" s="207">
        <v>231.89999999999998</v>
      </c>
      <c r="F108" s="207">
        <v>12.9</v>
      </c>
      <c r="G108" s="207">
        <v>9.6</v>
      </c>
      <c r="H108" s="207">
        <v>9.2999999999999989</v>
      </c>
      <c r="I108" s="207">
        <v>17.399999999999999</v>
      </c>
      <c r="J108" s="207">
        <v>2.1</v>
      </c>
      <c r="K108" s="207">
        <v>8.4</v>
      </c>
      <c r="L108" s="207">
        <v>5.3999999999999995</v>
      </c>
      <c r="M108" s="207">
        <v>8.1</v>
      </c>
      <c r="N108" s="207">
        <v>11.4</v>
      </c>
      <c r="O108" s="207">
        <v>6.3</v>
      </c>
      <c r="P108" s="207">
        <v>10.199999999999999</v>
      </c>
      <c r="Q108" s="207">
        <v>22.2</v>
      </c>
      <c r="R108" s="207">
        <v>16.2</v>
      </c>
      <c r="S108" s="207">
        <v>5.7</v>
      </c>
      <c r="T108" s="207">
        <v>14.7</v>
      </c>
      <c r="U108" s="207">
        <v>14.7</v>
      </c>
      <c r="V108" s="207">
        <v>78.899999999999991</v>
      </c>
      <c r="W108" s="207">
        <v>10.199999999999999</v>
      </c>
      <c r="X108" s="207">
        <v>10.5</v>
      </c>
      <c r="Y108" s="207">
        <v>8.4</v>
      </c>
      <c r="Z108" s="207">
        <v>21.599999999999998</v>
      </c>
      <c r="AA108" s="207">
        <v>26.099999999999998</v>
      </c>
      <c r="AB108" s="207">
        <v>5.0999999999999996</v>
      </c>
      <c r="AC108" s="207">
        <v>9</v>
      </c>
      <c r="AD108" s="207">
        <v>6.8999999999999995</v>
      </c>
      <c r="AE108" s="207">
        <v>6.6</v>
      </c>
      <c r="AF108" s="207">
        <v>41.1</v>
      </c>
      <c r="AG108" s="207">
        <v>6</v>
      </c>
      <c r="AH108" s="207">
        <v>8.4</v>
      </c>
      <c r="AI108" s="207">
        <v>27</v>
      </c>
      <c r="AJ108" s="207">
        <v>2.6999999999999997</v>
      </c>
      <c r="AK108" s="207">
        <v>9</v>
      </c>
      <c r="AL108" s="207">
        <v>4.5</v>
      </c>
      <c r="AM108" s="207">
        <v>27.599999999999998</v>
      </c>
      <c r="AN108" s="207">
        <v>4.8</v>
      </c>
      <c r="AO108" s="207">
        <v>5.0999999999999996</v>
      </c>
      <c r="AP108" s="207">
        <v>11.1</v>
      </c>
      <c r="AR108" s="14">
        <f t="shared" si="49"/>
        <v>0</v>
      </c>
      <c r="AS108" s="14">
        <f t="shared" si="50"/>
        <v>305.09999999999997</v>
      </c>
      <c r="AT108" s="14">
        <f t="shared" si="51"/>
        <v>27.9</v>
      </c>
      <c r="AU108" s="14">
        <f t="shared" si="52"/>
        <v>58.8</v>
      </c>
      <c r="AV108" s="15">
        <f t="shared" si="53"/>
        <v>144.30000000000001</v>
      </c>
      <c r="AW108" s="14">
        <f t="shared" si="54"/>
        <v>53.699999999999996</v>
      </c>
      <c r="AX108" s="14">
        <f t="shared" si="55"/>
        <v>55.5</v>
      </c>
      <c r="AY108" s="14">
        <f t="shared" si="56"/>
        <v>43.2</v>
      </c>
      <c r="AZ108" s="14">
        <f t="shared" si="57"/>
        <v>48.6</v>
      </c>
      <c r="BA108" s="16">
        <f t="shared" si="58"/>
        <v>737.1</v>
      </c>
    </row>
    <row r="109" spans="1:53" x14ac:dyDescent="0.25">
      <c r="A109" s="77">
        <v>106</v>
      </c>
      <c r="B109" s="195" t="s">
        <v>242</v>
      </c>
      <c r="C109" s="212" t="s">
        <v>248</v>
      </c>
      <c r="D109" s="207">
        <v>0</v>
      </c>
      <c r="E109" s="207">
        <v>990.3</v>
      </c>
      <c r="F109" s="207">
        <v>55.2</v>
      </c>
      <c r="G109" s="207">
        <v>40.5</v>
      </c>
      <c r="H109" s="207">
        <v>39.6</v>
      </c>
      <c r="I109" s="207">
        <v>73.8</v>
      </c>
      <c r="J109" s="207">
        <v>10.199999999999999</v>
      </c>
      <c r="K109" s="207">
        <v>36</v>
      </c>
      <c r="L109" s="207">
        <v>23.7</v>
      </c>
      <c r="M109" s="207">
        <v>34.799999999999997</v>
      </c>
      <c r="N109" s="207">
        <v>54.3</v>
      </c>
      <c r="O109" s="207">
        <v>29.7</v>
      </c>
      <c r="P109" s="207">
        <v>48.3</v>
      </c>
      <c r="Q109" s="207">
        <v>74.7</v>
      </c>
      <c r="R109" s="207">
        <v>69.599999999999994</v>
      </c>
      <c r="S109" s="207">
        <v>24.3</v>
      </c>
      <c r="T109" s="207">
        <v>63.3</v>
      </c>
      <c r="U109" s="207">
        <v>35.4</v>
      </c>
      <c r="V109" s="207">
        <v>347.1</v>
      </c>
      <c r="W109" s="207">
        <v>45.9</v>
      </c>
      <c r="X109" s="207">
        <v>45.9</v>
      </c>
      <c r="Y109" s="207">
        <v>37.799999999999997</v>
      </c>
      <c r="Z109" s="207">
        <v>95.7</v>
      </c>
      <c r="AA109" s="207">
        <v>124.5</v>
      </c>
      <c r="AB109" s="207">
        <v>24.6</v>
      </c>
      <c r="AC109" s="207">
        <v>42.6</v>
      </c>
      <c r="AD109" s="207">
        <v>33</v>
      </c>
      <c r="AE109" s="207">
        <v>31.5</v>
      </c>
      <c r="AF109" s="207">
        <v>159</v>
      </c>
      <c r="AG109" s="207">
        <v>23.1</v>
      </c>
      <c r="AH109" s="207">
        <v>32.700000000000003</v>
      </c>
      <c r="AI109" s="207">
        <v>117</v>
      </c>
      <c r="AJ109" s="207">
        <v>12.3</v>
      </c>
      <c r="AK109" s="207">
        <v>38.4</v>
      </c>
      <c r="AL109" s="207">
        <v>19.8</v>
      </c>
      <c r="AM109" s="207">
        <v>117.9</v>
      </c>
      <c r="AN109" s="207">
        <v>20.399999999999999</v>
      </c>
      <c r="AO109" s="207">
        <v>21.6</v>
      </c>
      <c r="AP109" s="207">
        <v>46.8</v>
      </c>
      <c r="AR109" s="14">
        <f t="shared" si="49"/>
        <v>0</v>
      </c>
      <c r="AS109" s="14">
        <f t="shared" si="50"/>
        <v>1304.0999999999999</v>
      </c>
      <c r="AT109" s="14">
        <f t="shared" si="51"/>
        <v>132.30000000000001</v>
      </c>
      <c r="AU109" s="14">
        <f t="shared" si="52"/>
        <v>231.90000000000003</v>
      </c>
      <c r="AV109" s="15">
        <f t="shared" si="53"/>
        <v>607.79999999999995</v>
      </c>
      <c r="AW109" s="14">
        <f t="shared" si="54"/>
        <v>256.2</v>
      </c>
      <c r="AX109" s="14">
        <f t="shared" si="55"/>
        <v>214.8</v>
      </c>
      <c r="AY109" s="14">
        <f t="shared" si="56"/>
        <v>187.50000000000003</v>
      </c>
      <c r="AZ109" s="14">
        <f t="shared" si="57"/>
        <v>206.7</v>
      </c>
      <c r="BA109" s="16">
        <f t="shared" si="58"/>
        <v>3141.2999999999997</v>
      </c>
    </row>
    <row r="110" spans="1:53" x14ac:dyDescent="0.25">
      <c r="A110" s="77">
        <v>107</v>
      </c>
      <c r="B110" s="195" t="s">
        <v>243</v>
      </c>
      <c r="C110" s="212" t="s">
        <v>248</v>
      </c>
      <c r="D110" s="207">
        <v>0</v>
      </c>
      <c r="E110" s="207">
        <v>1222.1999999999998</v>
      </c>
      <c r="F110" s="207">
        <v>68.100000000000009</v>
      </c>
      <c r="G110" s="207">
        <v>50.1</v>
      </c>
      <c r="H110" s="207">
        <v>48.9</v>
      </c>
      <c r="I110" s="207">
        <v>91.199999999999989</v>
      </c>
      <c r="J110" s="207">
        <v>12.299999999999999</v>
      </c>
      <c r="K110" s="207">
        <v>44.4</v>
      </c>
      <c r="L110" s="207">
        <v>29.099999999999998</v>
      </c>
      <c r="M110" s="207">
        <v>42.9</v>
      </c>
      <c r="N110" s="207">
        <v>65.7</v>
      </c>
      <c r="O110" s="207">
        <v>36</v>
      </c>
      <c r="P110" s="207">
        <v>58.5</v>
      </c>
      <c r="Q110" s="207">
        <v>96.9</v>
      </c>
      <c r="R110" s="207">
        <v>85.8</v>
      </c>
      <c r="S110" s="207">
        <v>30</v>
      </c>
      <c r="T110" s="207">
        <v>78</v>
      </c>
      <c r="U110" s="207">
        <v>50.099999999999994</v>
      </c>
      <c r="V110" s="207">
        <v>426</v>
      </c>
      <c r="W110" s="207">
        <v>56.099999999999994</v>
      </c>
      <c r="X110" s="207">
        <v>56.4</v>
      </c>
      <c r="Y110" s="207">
        <v>46.199999999999996</v>
      </c>
      <c r="Z110" s="207">
        <v>117.3</v>
      </c>
      <c r="AA110" s="207">
        <v>150.6</v>
      </c>
      <c r="AB110" s="207">
        <v>29.700000000000003</v>
      </c>
      <c r="AC110" s="207">
        <v>51.6</v>
      </c>
      <c r="AD110" s="207">
        <v>39.9</v>
      </c>
      <c r="AE110" s="207">
        <v>38.1</v>
      </c>
      <c r="AF110" s="207">
        <v>200.1</v>
      </c>
      <c r="AG110" s="207">
        <v>29.1</v>
      </c>
      <c r="AH110" s="207">
        <v>41.1</v>
      </c>
      <c r="AI110" s="207">
        <v>144</v>
      </c>
      <c r="AJ110" s="207">
        <v>15</v>
      </c>
      <c r="AK110" s="207">
        <v>47.4</v>
      </c>
      <c r="AL110" s="207">
        <v>24.3</v>
      </c>
      <c r="AM110" s="207">
        <v>145.5</v>
      </c>
      <c r="AN110" s="207">
        <v>25.2</v>
      </c>
      <c r="AO110" s="207">
        <v>26.700000000000003</v>
      </c>
      <c r="AP110" s="207">
        <v>57.9</v>
      </c>
      <c r="AR110" s="14">
        <f t="shared" si="49"/>
        <v>0</v>
      </c>
      <c r="AS110" s="14">
        <f t="shared" si="50"/>
        <v>1609.1999999999998</v>
      </c>
      <c r="AT110" s="14">
        <f t="shared" si="51"/>
        <v>160.19999999999999</v>
      </c>
      <c r="AU110" s="14">
        <f t="shared" si="52"/>
        <v>290.7</v>
      </c>
      <c r="AV110" s="15">
        <f t="shared" si="53"/>
        <v>752.1</v>
      </c>
      <c r="AW110" s="14">
        <f t="shared" si="54"/>
        <v>309.90000000000003</v>
      </c>
      <c r="AX110" s="14">
        <f t="shared" si="55"/>
        <v>270.3</v>
      </c>
      <c r="AY110" s="14">
        <f t="shared" si="56"/>
        <v>230.70000000000002</v>
      </c>
      <c r="AZ110" s="14">
        <f t="shared" si="57"/>
        <v>255.29999999999998</v>
      </c>
      <c r="BA110" s="16">
        <f t="shared" si="58"/>
        <v>3878.4</v>
      </c>
    </row>
    <row r="111" spans="1:53" x14ac:dyDescent="0.25">
      <c r="A111" s="77">
        <v>108</v>
      </c>
      <c r="B111" s="195" t="s">
        <v>244</v>
      </c>
      <c r="C111" s="212" t="s">
        <v>248</v>
      </c>
      <c r="D111" s="207">
        <v>0</v>
      </c>
      <c r="E111" s="207">
        <v>368</v>
      </c>
      <c r="F111" s="207">
        <v>20</v>
      </c>
      <c r="G111" s="207">
        <v>15</v>
      </c>
      <c r="H111" s="207">
        <v>15</v>
      </c>
      <c r="I111" s="207">
        <v>27</v>
      </c>
      <c r="J111" s="207">
        <v>3</v>
      </c>
      <c r="K111" s="207">
        <v>13</v>
      </c>
      <c r="L111" s="207">
        <v>9</v>
      </c>
      <c r="M111" s="207">
        <v>13</v>
      </c>
      <c r="N111" s="207">
        <v>18</v>
      </c>
      <c r="O111" s="207">
        <v>10</v>
      </c>
      <c r="P111" s="207">
        <v>16</v>
      </c>
      <c r="Q111" s="207">
        <v>43</v>
      </c>
      <c r="R111" s="207">
        <v>26</v>
      </c>
      <c r="S111" s="207">
        <v>9</v>
      </c>
      <c r="T111" s="207">
        <v>24</v>
      </c>
      <c r="U111" s="207">
        <v>16</v>
      </c>
      <c r="V111" s="207">
        <v>123</v>
      </c>
      <c r="W111" s="207">
        <v>16</v>
      </c>
      <c r="X111" s="207">
        <v>16</v>
      </c>
      <c r="Y111" s="207">
        <v>13</v>
      </c>
      <c r="Z111" s="207">
        <v>34</v>
      </c>
      <c r="AA111" s="207">
        <v>44</v>
      </c>
      <c r="AB111" s="207">
        <v>8</v>
      </c>
      <c r="AC111" s="207">
        <v>14</v>
      </c>
      <c r="AD111" s="207">
        <v>11</v>
      </c>
      <c r="AE111" s="207">
        <v>11</v>
      </c>
      <c r="AF111" s="207">
        <v>65</v>
      </c>
      <c r="AG111" s="207">
        <v>9</v>
      </c>
      <c r="AH111" s="207">
        <v>13</v>
      </c>
      <c r="AI111" s="207">
        <v>43</v>
      </c>
      <c r="AJ111" s="207">
        <v>4</v>
      </c>
      <c r="AK111" s="207">
        <v>14</v>
      </c>
      <c r="AL111" s="207">
        <v>7</v>
      </c>
      <c r="AM111" s="207">
        <v>44</v>
      </c>
      <c r="AN111" s="207">
        <v>8</v>
      </c>
      <c r="AO111" s="207">
        <v>8</v>
      </c>
      <c r="AP111" s="207">
        <v>17</v>
      </c>
      <c r="AR111" s="14">
        <f t="shared" si="49"/>
        <v>0</v>
      </c>
      <c r="AS111" s="14">
        <f t="shared" si="50"/>
        <v>483</v>
      </c>
      <c r="AT111" s="14">
        <f t="shared" si="51"/>
        <v>44</v>
      </c>
      <c r="AU111" s="14">
        <f t="shared" si="52"/>
        <v>102</v>
      </c>
      <c r="AV111" s="15">
        <f t="shared" si="53"/>
        <v>218</v>
      </c>
      <c r="AW111" s="14">
        <f t="shared" si="54"/>
        <v>88</v>
      </c>
      <c r="AX111" s="14">
        <f t="shared" si="55"/>
        <v>87</v>
      </c>
      <c r="AY111" s="14">
        <f t="shared" si="56"/>
        <v>68</v>
      </c>
      <c r="AZ111" s="14">
        <f t="shared" si="57"/>
        <v>77</v>
      </c>
      <c r="BA111" s="16">
        <f t="shared" si="58"/>
        <v>1167</v>
      </c>
    </row>
    <row r="112" spans="1:53" x14ac:dyDescent="0.25">
      <c r="A112" s="77">
        <v>109</v>
      </c>
      <c r="B112" s="195" t="s">
        <v>245</v>
      </c>
      <c r="C112" s="212" t="s">
        <v>248</v>
      </c>
      <c r="D112" s="207">
        <v>0</v>
      </c>
      <c r="E112" s="207">
        <v>768</v>
      </c>
      <c r="F112" s="207">
        <v>43</v>
      </c>
      <c r="G112" s="207">
        <v>31</v>
      </c>
      <c r="H112" s="207">
        <v>31</v>
      </c>
      <c r="I112" s="207">
        <v>57</v>
      </c>
      <c r="J112" s="207">
        <v>7</v>
      </c>
      <c r="K112" s="207">
        <v>28</v>
      </c>
      <c r="L112" s="207">
        <v>18</v>
      </c>
      <c r="M112" s="207">
        <v>27</v>
      </c>
      <c r="N112" s="207">
        <v>40</v>
      </c>
      <c r="O112" s="207">
        <v>22</v>
      </c>
      <c r="P112" s="207">
        <v>35</v>
      </c>
      <c r="Q112" s="207">
        <v>59</v>
      </c>
      <c r="R112" s="207">
        <v>54</v>
      </c>
      <c r="S112" s="207">
        <v>19</v>
      </c>
      <c r="T112" s="207">
        <v>49</v>
      </c>
      <c r="U112" s="207">
        <v>34</v>
      </c>
      <c r="V112" s="207">
        <v>272</v>
      </c>
      <c r="W112" s="207">
        <v>36</v>
      </c>
      <c r="X112" s="207">
        <v>36</v>
      </c>
      <c r="Y112" s="207">
        <v>30</v>
      </c>
      <c r="Z112" s="207">
        <v>75</v>
      </c>
      <c r="AA112" s="207">
        <v>91</v>
      </c>
      <c r="AB112" s="207">
        <v>18</v>
      </c>
      <c r="AC112" s="207">
        <v>31</v>
      </c>
      <c r="AD112" s="207">
        <v>24</v>
      </c>
      <c r="AE112" s="207">
        <v>23</v>
      </c>
      <c r="AF112" s="207">
        <v>124</v>
      </c>
      <c r="AG112" s="207">
        <v>18</v>
      </c>
      <c r="AH112" s="207">
        <v>25</v>
      </c>
      <c r="AI112" s="207">
        <v>96</v>
      </c>
      <c r="AJ112" s="207">
        <v>9</v>
      </c>
      <c r="AK112" s="207">
        <v>30</v>
      </c>
      <c r="AL112" s="207">
        <v>16</v>
      </c>
      <c r="AM112" s="207">
        <v>91</v>
      </c>
      <c r="AN112" s="207">
        <v>16</v>
      </c>
      <c r="AO112" s="207">
        <v>17</v>
      </c>
      <c r="AP112" s="207">
        <v>36</v>
      </c>
      <c r="AR112" s="14">
        <f t="shared" si="49"/>
        <v>0</v>
      </c>
      <c r="AS112" s="14">
        <f t="shared" si="50"/>
        <v>1010</v>
      </c>
      <c r="AT112" s="14">
        <f t="shared" si="51"/>
        <v>97</v>
      </c>
      <c r="AU112" s="14">
        <f t="shared" si="52"/>
        <v>181</v>
      </c>
      <c r="AV112" s="15">
        <f t="shared" si="53"/>
        <v>483</v>
      </c>
      <c r="AW112" s="14">
        <f t="shared" si="54"/>
        <v>187</v>
      </c>
      <c r="AX112" s="14">
        <f t="shared" si="55"/>
        <v>167</v>
      </c>
      <c r="AY112" s="14">
        <f t="shared" si="56"/>
        <v>151</v>
      </c>
      <c r="AZ112" s="14">
        <f t="shared" si="57"/>
        <v>160</v>
      </c>
      <c r="BA112" s="16">
        <f t="shared" si="58"/>
        <v>2436</v>
      </c>
    </row>
    <row r="113" spans="1:53" x14ac:dyDescent="0.25">
      <c r="A113" s="77">
        <v>110</v>
      </c>
      <c r="B113" s="195" t="s">
        <v>246</v>
      </c>
      <c r="C113" s="212" t="s">
        <v>248</v>
      </c>
      <c r="D113" s="207">
        <v>0</v>
      </c>
      <c r="E113" s="207">
        <v>833</v>
      </c>
      <c r="F113" s="207">
        <v>46</v>
      </c>
      <c r="G113" s="207">
        <v>34</v>
      </c>
      <c r="H113" s="207">
        <v>33</v>
      </c>
      <c r="I113" s="207">
        <v>62</v>
      </c>
      <c r="J113" s="207">
        <v>9</v>
      </c>
      <c r="K113" s="207">
        <v>30</v>
      </c>
      <c r="L113" s="207">
        <v>20</v>
      </c>
      <c r="M113" s="207">
        <v>29</v>
      </c>
      <c r="N113" s="207">
        <v>46</v>
      </c>
      <c r="O113" s="207">
        <v>25</v>
      </c>
      <c r="P113" s="207">
        <v>41</v>
      </c>
      <c r="Q113" s="207">
        <v>60</v>
      </c>
      <c r="R113" s="207">
        <v>58</v>
      </c>
      <c r="S113" s="207">
        <v>20</v>
      </c>
      <c r="T113" s="207">
        <v>53</v>
      </c>
      <c r="U113" s="207">
        <v>31</v>
      </c>
      <c r="V113" s="207">
        <v>288</v>
      </c>
      <c r="W113" s="207">
        <v>38</v>
      </c>
      <c r="X113" s="207">
        <v>38</v>
      </c>
      <c r="Y113" s="207">
        <v>31</v>
      </c>
      <c r="Z113" s="207">
        <v>79</v>
      </c>
      <c r="AA113" s="207">
        <v>106</v>
      </c>
      <c r="AB113" s="207">
        <v>21</v>
      </c>
      <c r="AC113" s="207">
        <v>36</v>
      </c>
      <c r="AD113" s="207">
        <v>28</v>
      </c>
      <c r="AE113" s="207">
        <v>27</v>
      </c>
      <c r="AF113" s="207">
        <v>144</v>
      </c>
      <c r="AG113" s="207">
        <v>21</v>
      </c>
      <c r="AH113" s="207">
        <v>30</v>
      </c>
      <c r="AI113" s="207">
        <v>100</v>
      </c>
      <c r="AJ113" s="207">
        <v>10</v>
      </c>
      <c r="AK113" s="207">
        <v>32</v>
      </c>
      <c r="AL113" s="207">
        <v>17</v>
      </c>
      <c r="AM113" s="207">
        <v>99</v>
      </c>
      <c r="AN113" s="207">
        <v>17</v>
      </c>
      <c r="AO113" s="207">
        <v>18</v>
      </c>
      <c r="AP113" s="207">
        <v>39</v>
      </c>
      <c r="AR113" s="14">
        <f t="shared" si="49"/>
        <v>0</v>
      </c>
      <c r="AS113" s="14">
        <f t="shared" si="50"/>
        <v>1096</v>
      </c>
      <c r="AT113" s="14">
        <f t="shared" si="51"/>
        <v>112</v>
      </c>
      <c r="AU113" s="14">
        <f t="shared" si="52"/>
        <v>191</v>
      </c>
      <c r="AV113" s="15">
        <f t="shared" si="53"/>
        <v>505</v>
      </c>
      <c r="AW113" s="14">
        <f t="shared" si="54"/>
        <v>218</v>
      </c>
      <c r="AX113" s="14">
        <f t="shared" si="55"/>
        <v>195</v>
      </c>
      <c r="AY113" s="14">
        <f t="shared" si="56"/>
        <v>159</v>
      </c>
      <c r="AZ113" s="14">
        <f t="shared" si="57"/>
        <v>173</v>
      </c>
      <c r="BA113" s="16">
        <f t="shared" si="58"/>
        <v>2649</v>
      </c>
    </row>
    <row r="114" spans="1:53" x14ac:dyDescent="0.25">
      <c r="A114" s="77">
        <v>111</v>
      </c>
      <c r="B114" s="195" t="s">
        <v>247</v>
      </c>
      <c r="C114" s="212" t="s">
        <v>248</v>
      </c>
      <c r="D114" s="207">
        <v>0</v>
      </c>
      <c r="E114" s="207">
        <v>1969</v>
      </c>
      <c r="F114" s="207">
        <v>109</v>
      </c>
      <c r="G114" s="207">
        <v>80</v>
      </c>
      <c r="H114" s="207">
        <v>79</v>
      </c>
      <c r="I114" s="207">
        <v>146</v>
      </c>
      <c r="J114" s="207">
        <v>19</v>
      </c>
      <c r="K114" s="207">
        <v>71</v>
      </c>
      <c r="L114" s="207">
        <v>47</v>
      </c>
      <c r="M114" s="207">
        <v>69</v>
      </c>
      <c r="N114" s="207">
        <v>104</v>
      </c>
      <c r="O114" s="207">
        <v>57</v>
      </c>
      <c r="P114" s="207">
        <v>92</v>
      </c>
      <c r="Q114" s="207">
        <v>162</v>
      </c>
      <c r="R114" s="207">
        <v>138</v>
      </c>
      <c r="S114" s="207">
        <v>48</v>
      </c>
      <c r="T114" s="207">
        <v>126</v>
      </c>
      <c r="U114" s="207">
        <v>81</v>
      </c>
      <c r="V114" s="207">
        <v>683</v>
      </c>
      <c r="W114" s="207">
        <v>90</v>
      </c>
      <c r="X114" s="207">
        <v>90</v>
      </c>
      <c r="Y114" s="207">
        <v>74</v>
      </c>
      <c r="Z114" s="207">
        <v>188</v>
      </c>
      <c r="AA114" s="207">
        <v>241</v>
      </c>
      <c r="AB114" s="207">
        <v>47</v>
      </c>
      <c r="AC114" s="207">
        <v>81</v>
      </c>
      <c r="AD114" s="207">
        <v>63</v>
      </c>
      <c r="AE114" s="207">
        <v>61</v>
      </c>
      <c r="AF114" s="207">
        <v>333</v>
      </c>
      <c r="AG114" s="207">
        <v>48</v>
      </c>
      <c r="AH114" s="207">
        <v>68</v>
      </c>
      <c r="AI114" s="207">
        <v>239</v>
      </c>
      <c r="AJ114" s="207">
        <v>23</v>
      </c>
      <c r="AK114" s="207">
        <v>76</v>
      </c>
      <c r="AL114" s="207">
        <v>40</v>
      </c>
      <c r="AM114" s="207">
        <v>234</v>
      </c>
      <c r="AN114" s="207">
        <v>41</v>
      </c>
      <c r="AO114" s="207">
        <v>43</v>
      </c>
      <c r="AP114" s="207">
        <v>92</v>
      </c>
      <c r="AR114" s="14">
        <f t="shared" si="49"/>
        <v>0</v>
      </c>
      <c r="AS114" s="14">
        <f t="shared" si="50"/>
        <v>2589</v>
      </c>
      <c r="AT114" s="14">
        <f t="shared" si="51"/>
        <v>253</v>
      </c>
      <c r="AU114" s="14">
        <f t="shared" si="52"/>
        <v>474</v>
      </c>
      <c r="AV114" s="15">
        <f t="shared" si="53"/>
        <v>1206</v>
      </c>
      <c r="AW114" s="14">
        <f t="shared" si="54"/>
        <v>493</v>
      </c>
      <c r="AX114" s="14">
        <f t="shared" si="55"/>
        <v>449</v>
      </c>
      <c r="AY114" s="14">
        <f t="shared" si="56"/>
        <v>378</v>
      </c>
      <c r="AZ114" s="14">
        <f t="shared" si="57"/>
        <v>410</v>
      </c>
      <c r="BA114" s="16">
        <f t="shared" si="58"/>
        <v>6252</v>
      </c>
    </row>
    <row r="115" spans="1:53" x14ac:dyDescent="0.25">
      <c r="A115" s="77">
        <v>137</v>
      </c>
      <c r="B115" s="76"/>
      <c r="C115" s="82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R115" s="14">
        <f t="shared" ref="AR115:AR171" si="79">SUM(D115)</f>
        <v>0</v>
      </c>
      <c r="AS115" s="14">
        <f t="shared" ref="AS115:AS171" si="80">+SUM(E115:M115)</f>
        <v>0</v>
      </c>
      <c r="AT115" s="14">
        <f t="shared" ref="AT115:AT171" si="81">+SUM(N115:P115)</f>
        <v>0</v>
      </c>
      <c r="AU115" s="14">
        <f t="shared" ref="AU115:AU171" si="82">+SUM(Q115:T115)</f>
        <v>0</v>
      </c>
      <c r="AV115" s="15">
        <f t="shared" ref="AV115:AV171" si="83">+SUM(U115:Z115)</f>
        <v>0</v>
      </c>
      <c r="AW115" s="14">
        <f t="shared" ref="AW115:AW171" si="84">+SUM(AA115:AE115)</f>
        <v>0</v>
      </c>
      <c r="AX115" s="14">
        <f t="shared" ref="AX115:AX171" si="85">+SUM(AF115:AH115)</f>
        <v>0</v>
      </c>
      <c r="AY115" s="14">
        <f t="shared" ref="AY115:AY171" si="86">+SUM(AI115:AL115)</f>
        <v>0</v>
      </c>
      <c r="AZ115" s="14">
        <f t="shared" ref="AZ115:AZ171" si="87">+SUM(AM115:AP115)</f>
        <v>0</v>
      </c>
      <c r="BA115" s="16">
        <f t="shared" ref="BA115:BA171" si="88">SUM(AR115:AZ115)</f>
        <v>0</v>
      </c>
    </row>
    <row r="116" spans="1:53" x14ac:dyDescent="0.25">
      <c r="A116" s="77">
        <v>138</v>
      </c>
      <c r="B116" s="76"/>
      <c r="C116" s="82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R116" s="14">
        <f t="shared" si="79"/>
        <v>0</v>
      </c>
      <c r="AS116" s="14">
        <f t="shared" si="80"/>
        <v>0</v>
      </c>
      <c r="AT116" s="14">
        <f t="shared" si="81"/>
        <v>0</v>
      </c>
      <c r="AU116" s="14">
        <f t="shared" si="82"/>
        <v>0</v>
      </c>
      <c r="AV116" s="15">
        <f t="shared" si="83"/>
        <v>0</v>
      </c>
      <c r="AW116" s="14">
        <f t="shared" si="84"/>
        <v>0</v>
      </c>
      <c r="AX116" s="14">
        <f t="shared" si="85"/>
        <v>0</v>
      </c>
      <c r="AY116" s="14">
        <f t="shared" si="86"/>
        <v>0</v>
      </c>
      <c r="AZ116" s="14">
        <f t="shared" si="87"/>
        <v>0</v>
      </c>
      <c r="BA116" s="16">
        <f t="shared" si="88"/>
        <v>0</v>
      </c>
    </row>
    <row r="117" spans="1:53" x14ac:dyDescent="0.25">
      <c r="A117" s="77">
        <v>139</v>
      </c>
      <c r="B117" s="76"/>
      <c r="C117" s="82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R117" s="14">
        <f t="shared" si="79"/>
        <v>0</v>
      </c>
      <c r="AS117" s="14">
        <f t="shared" si="80"/>
        <v>0</v>
      </c>
      <c r="AT117" s="14">
        <f t="shared" si="81"/>
        <v>0</v>
      </c>
      <c r="AU117" s="14">
        <f t="shared" si="82"/>
        <v>0</v>
      </c>
      <c r="AV117" s="15">
        <f t="shared" si="83"/>
        <v>0</v>
      </c>
      <c r="AW117" s="14">
        <f t="shared" si="84"/>
        <v>0</v>
      </c>
      <c r="AX117" s="14">
        <f t="shared" si="85"/>
        <v>0</v>
      </c>
      <c r="AY117" s="14">
        <f t="shared" si="86"/>
        <v>0</v>
      </c>
      <c r="AZ117" s="14">
        <f t="shared" si="87"/>
        <v>0</v>
      </c>
      <c r="BA117" s="16">
        <f t="shared" si="88"/>
        <v>0</v>
      </c>
    </row>
    <row r="118" spans="1:53" x14ac:dyDescent="0.25">
      <c r="A118" s="77">
        <v>140</v>
      </c>
      <c r="B118" s="76"/>
      <c r="C118" s="82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R118" s="14">
        <f t="shared" si="79"/>
        <v>0</v>
      </c>
      <c r="AS118" s="14">
        <f t="shared" si="80"/>
        <v>0</v>
      </c>
      <c r="AT118" s="14">
        <f t="shared" si="81"/>
        <v>0</v>
      </c>
      <c r="AU118" s="14">
        <f t="shared" si="82"/>
        <v>0</v>
      </c>
      <c r="AV118" s="15">
        <f t="shared" si="83"/>
        <v>0</v>
      </c>
      <c r="AW118" s="14">
        <f t="shared" si="84"/>
        <v>0</v>
      </c>
      <c r="AX118" s="14">
        <f t="shared" si="85"/>
        <v>0</v>
      </c>
      <c r="AY118" s="14">
        <f t="shared" si="86"/>
        <v>0</v>
      </c>
      <c r="AZ118" s="14">
        <f t="shared" si="87"/>
        <v>0</v>
      </c>
      <c r="BA118" s="16">
        <f t="shared" si="88"/>
        <v>0</v>
      </c>
    </row>
    <row r="119" spans="1:53" x14ac:dyDescent="0.25">
      <c r="A119" s="77">
        <v>141</v>
      </c>
      <c r="B119" s="76"/>
      <c r="C119" s="82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R119" s="14">
        <f t="shared" si="79"/>
        <v>0</v>
      </c>
      <c r="AS119" s="14">
        <f t="shared" si="80"/>
        <v>0</v>
      </c>
      <c r="AT119" s="14">
        <f t="shared" si="81"/>
        <v>0</v>
      </c>
      <c r="AU119" s="14">
        <f t="shared" si="82"/>
        <v>0</v>
      </c>
      <c r="AV119" s="15">
        <f t="shared" si="83"/>
        <v>0</v>
      </c>
      <c r="AW119" s="14">
        <f t="shared" si="84"/>
        <v>0</v>
      </c>
      <c r="AX119" s="14">
        <f t="shared" si="85"/>
        <v>0</v>
      </c>
      <c r="AY119" s="14">
        <f t="shared" si="86"/>
        <v>0</v>
      </c>
      <c r="AZ119" s="14">
        <f t="shared" si="87"/>
        <v>0</v>
      </c>
      <c r="BA119" s="16">
        <f t="shared" si="88"/>
        <v>0</v>
      </c>
    </row>
    <row r="120" spans="1:53" x14ac:dyDescent="0.25">
      <c r="A120" s="77">
        <v>142</v>
      </c>
      <c r="B120" s="76"/>
      <c r="C120" s="82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R120" s="14">
        <f t="shared" si="79"/>
        <v>0</v>
      </c>
      <c r="AS120" s="14">
        <f t="shared" si="80"/>
        <v>0</v>
      </c>
      <c r="AT120" s="14">
        <f t="shared" si="81"/>
        <v>0</v>
      </c>
      <c r="AU120" s="14">
        <f t="shared" si="82"/>
        <v>0</v>
      </c>
      <c r="AV120" s="15">
        <f t="shared" si="83"/>
        <v>0</v>
      </c>
      <c r="AW120" s="14">
        <f t="shared" si="84"/>
        <v>0</v>
      </c>
      <c r="AX120" s="14">
        <f t="shared" si="85"/>
        <v>0</v>
      </c>
      <c r="AY120" s="14">
        <f t="shared" si="86"/>
        <v>0</v>
      </c>
      <c r="AZ120" s="14">
        <f t="shared" si="87"/>
        <v>0</v>
      </c>
      <c r="BA120" s="16">
        <f t="shared" si="88"/>
        <v>0</v>
      </c>
    </row>
    <row r="121" spans="1:53" x14ac:dyDescent="0.25">
      <c r="A121" s="77">
        <v>143</v>
      </c>
      <c r="B121" s="76"/>
      <c r="C121" s="82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R121" s="14">
        <f t="shared" si="79"/>
        <v>0</v>
      </c>
      <c r="AS121" s="14">
        <f t="shared" si="80"/>
        <v>0</v>
      </c>
      <c r="AT121" s="14">
        <f t="shared" si="81"/>
        <v>0</v>
      </c>
      <c r="AU121" s="14">
        <f t="shared" si="82"/>
        <v>0</v>
      </c>
      <c r="AV121" s="15">
        <f t="shared" si="83"/>
        <v>0</v>
      </c>
      <c r="AW121" s="14">
        <f t="shared" si="84"/>
        <v>0</v>
      </c>
      <c r="AX121" s="14">
        <f t="shared" si="85"/>
        <v>0</v>
      </c>
      <c r="AY121" s="14">
        <f t="shared" si="86"/>
        <v>0</v>
      </c>
      <c r="AZ121" s="14">
        <f t="shared" si="87"/>
        <v>0</v>
      </c>
      <c r="BA121" s="16">
        <f t="shared" si="88"/>
        <v>0</v>
      </c>
    </row>
    <row r="122" spans="1:53" x14ac:dyDescent="0.25">
      <c r="A122" s="77">
        <v>144</v>
      </c>
      <c r="B122" s="76"/>
      <c r="C122" s="82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R122" s="14">
        <f t="shared" si="79"/>
        <v>0</v>
      </c>
      <c r="AS122" s="14">
        <f t="shared" si="80"/>
        <v>0</v>
      </c>
      <c r="AT122" s="14">
        <f t="shared" si="81"/>
        <v>0</v>
      </c>
      <c r="AU122" s="14">
        <f t="shared" si="82"/>
        <v>0</v>
      </c>
      <c r="AV122" s="15">
        <f t="shared" si="83"/>
        <v>0</v>
      </c>
      <c r="AW122" s="14">
        <f t="shared" si="84"/>
        <v>0</v>
      </c>
      <c r="AX122" s="14">
        <f t="shared" si="85"/>
        <v>0</v>
      </c>
      <c r="AY122" s="14">
        <f t="shared" si="86"/>
        <v>0</v>
      </c>
      <c r="AZ122" s="14">
        <f t="shared" si="87"/>
        <v>0</v>
      </c>
      <c r="BA122" s="16">
        <f t="shared" si="88"/>
        <v>0</v>
      </c>
    </row>
    <row r="123" spans="1:53" x14ac:dyDescent="0.25">
      <c r="A123" s="77">
        <v>145</v>
      </c>
      <c r="B123" s="76"/>
      <c r="C123" s="82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R123" s="14">
        <f t="shared" si="79"/>
        <v>0</v>
      </c>
      <c r="AS123" s="14">
        <f t="shared" si="80"/>
        <v>0</v>
      </c>
      <c r="AT123" s="14">
        <f t="shared" si="81"/>
        <v>0</v>
      </c>
      <c r="AU123" s="14">
        <f t="shared" si="82"/>
        <v>0</v>
      </c>
      <c r="AV123" s="15">
        <f t="shared" si="83"/>
        <v>0</v>
      </c>
      <c r="AW123" s="14">
        <f t="shared" si="84"/>
        <v>0</v>
      </c>
      <c r="AX123" s="14">
        <f t="shared" si="85"/>
        <v>0</v>
      </c>
      <c r="AY123" s="14">
        <f t="shared" si="86"/>
        <v>0</v>
      </c>
      <c r="AZ123" s="14">
        <f t="shared" si="87"/>
        <v>0</v>
      </c>
      <c r="BA123" s="16">
        <f t="shared" si="88"/>
        <v>0</v>
      </c>
    </row>
    <row r="124" spans="1:53" x14ac:dyDescent="0.25">
      <c r="A124" s="77">
        <v>146</v>
      </c>
      <c r="B124" s="76"/>
      <c r="C124" s="82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R124" s="14">
        <f t="shared" si="79"/>
        <v>0</v>
      </c>
      <c r="AS124" s="14">
        <f t="shared" si="80"/>
        <v>0</v>
      </c>
      <c r="AT124" s="14">
        <f t="shared" si="81"/>
        <v>0</v>
      </c>
      <c r="AU124" s="14">
        <f t="shared" si="82"/>
        <v>0</v>
      </c>
      <c r="AV124" s="15">
        <f t="shared" si="83"/>
        <v>0</v>
      </c>
      <c r="AW124" s="14">
        <f t="shared" si="84"/>
        <v>0</v>
      </c>
      <c r="AX124" s="14">
        <f t="shared" si="85"/>
        <v>0</v>
      </c>
      <c r="AY124" s="14">
        <f t="shared" si="86"/>
        <v>0</v>
      </c>
      <c r="AZ124" s="14">
        <f t="shared" si="87"/>
        <v>0</v>
      </c>
      <c r="BA124" s="16">
        <f t="shared" si="88"/>
        <v>0</v>
      </c>
    </row>
    <row r="125" spans="1:53" x14ac:dyDescent="0.25">
      <c r="A125" s="77">
        <v>147</v>
      </c>
      <c r="B125" s="76"/>
      <c r="C125" s="82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R125" s="14">
        <f t="shared" si="79"/>
        <v>0</v>
      </c>
      <c r="AS125" s="14">
        <f t="shared" si="80"/>
        <v>0</v>
      </c>
      <c r="AT125" s="14">
        <f t="shared" si="81"/>
        <v>0</v>
      </c>
      <c r="AU125" s="14">
        <f t="shared" si="82"/>
        <v>0</v>
      </c>
      <c r="AV125" s="15">
        <f t="shared" si="83"/>
        <v>0</v>
      </c>
      <c r="AW125" s="14">
        <f t="shared" si="84"/>
        <v>0</v>
      </c>
      <c r="AX125" s="14">
        <f t="shared" si="85"/>
        <v>0</v>
      </c>
      <c r="AY125" s="14">
        <f t="shared" si="86"/>
        <v>0</v>
      </c>
      <c r="AZ125" s="14">
        <f t="shared" si="87"/>
        <v>0</v>
      </c>
      <c r="BA125" s="16">
        <f t="shared" si="88"/>
        <v>0</v>
      </c>
    </row>
    <row r="126" spans="1:53" x14ac:dyDescent="0.25">
      <c r="A126" s="77">
        <v>148</v>
      </c>
      <c r="B126" s="76"/>
      <c r="C126" s="82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R126" s="14">
        <f t="shared" si="79"/>
        <v>0</v>
      </c>
      <c r="AS126" s="14">
        <f t="shared" si="80"/>
        <v>0</v>
      </c>
      <c r="AT126" s="14">
        <f t="shared" si="81"/>
        <v>0</v>
      </c>
      <c r="AU126" s="14">
        <f t="shared" si="82"/>
        <v>0</v>
      </c>
      <c r="AV126" s="15">
        <f t="shared" si="83"/>
        <v>0</v>
      </c>
      <c r="AW126" s="14">
        <f t="shared" si="84"/>
        <v>0</v>
      </c>
      <c r="AX126" s="14">
        <f t="shared" si="85"/>
        <v>0</v>
      </c>
      <c r="AY126" s="14">
        <f t="shared" si="86"/>
        <v>0</v>
      </c>
      <c r="AZ126" s="14">
        <f t="shared" si="87"/>
        <v>0</v>
      </c>
      <c r="BA126" s="16">
        <f t="shared" si="88"/>
        <v>0</v>
      </c>
    </row>
    <row r="127" spans="1:53" x14ac:dyDescent="0.25">
      <c r="A127" s="77">
        <v>149</v>
      </c>
      <c r="B127" s="76"/>
      <c r="C127" s="82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R127" s="14">
        <f t="shared" si="79"/>
        <v>0</v>
      </c>
      <c r="AS127" s="14">
        <f t="shared" si="80"/>
        <v>0</v>
      </c>
      <c r="AT127" s="14">
        <f t="shared" si="81"/>
        <v>0</v>
      </c>
      <c r="AU127" s="14">
        <f t="shared" si="82"/>
        <v>0</v>
      </c>
      <c r="AV127" s="15">
        <f t="shared" si="83"/>
        <v>0</v>
      </c>
      <c r="AW127" s="14">
        <f t="shared" si="84"/>
        <v>0</v>
      </c>
      <c r="AX127" s="14">
        <f t="shared" si="85"/>
        <v>0</v>
      </c>
      <c r="AY127" s="14">
        <f t="shared" si="86"/>
        <v>0</v>
      </c>
      <c r="AZ127" s="14">
        <f t="shared" si="87"/>
        <v>0</v>
      </c>
      <c r="BA127" s="16">
        <f t="shared" si="88"/>
        <v>0</v>
      </c>
    </row>
    <row r="128" spans="1:53" x14ac:dyDescent="0.25">
      <c r="A128" s="77">
        <v>150</v>
      </c>
      <c r="B128" s="76"/>
      <c r="C128" s="82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R128" s="14">
        <f t="shared" si="79"/>
        <v>0</v>
      </c>
      <c r="AS128" s="14">
        <f t="shared" si="80"/>
        <v>0</v>
      </c>
      <c r="AT128" s="14">
        <f t="shared" si="81"/>
        <v>0</v>
      </c>
      <c r="AU128" s="14">
        <f t="shared" si="82"/>
        <v>0</v>
      </c>
      <c r="AV128" s="15">
        <f t="shared" si="83"/>
        <v>0</v>
      </c>
      <c r="AW128" s="14">
        <f t="shared" si="84"/>
        <v>0</v>
      </c>
      <c r="AX128" s="14">
        <f t="shared" si="85"/>
        <v>0</v>
      </c>
      <c r="AY128" s="14">
        <f t="shared" si="86"/>
        <v>0</v>
      </c>
      <c r="AZ128" s="14">
        <f t="shared" si="87"/>
        <v>0</v>
      </c>
      <c r="BA128" s="16">
        <f t="shared" si="88"/>
        <v>0</v>
      </c>
    </row>
    <row r="129" spans="1:53" x14ac:dyDescent="0.25">
      <c r="A129" s="77">
        <v>151</v>
      </c>
      <c r="B129" s="76"/>
      <c r="C129" s="82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R129" s="14">
        <f t="shared" si="79"/>
        <v>0</v>
      </c>
      <c r="AS129" s="14">
        <f t="shared" si="80"/>
        <v>0</v>
      </c>
      <c r="AT129" s="14">
        <f t="shared" si="81"/>
        <v>0</v>
      </c>
      <c r="AU129" s="14">
        <f t="shared" si="82"/>
        <v>0</v>
      </c>
      <c r="AV129" s="15">
        <f t="shared" si="83"/>
        <v>0</v>
      </c>
      <c r="AW129" s="14">
        <f t="shared" si="84"/>
        <v>0</v>
      </c>
      <c r="AX129" s="14">
        <f t="shared" si="85"/>
        <v>0</v>
      </c>
      <c r="AY129" s="14">
        <f t="shared" si="86"/>
        <v>0</v>
      </c>
      <c r="AZ129" s="14">
        <f t="shared" si="87"/>
        <v>0</v>
      </c>
      <c r="BA129" s="16">
        <f t="shared" si="88"/>
        <v>0</v>
      </c>
    </row>
    <row r="130" spans="1:53" x14ac:dyDescent="0.25">
      <c r="A130" s="77">
        <v>152</v>
      </c>
      <c r="B130" s="76"/>
      <c r="C130" s="82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R130" s="14">
        <f t="shared" si="79"/>
        <v>0</v>
      </c>
      <c r="AS130" s="14">
        <f t="shared" si="80"/>
        <v>0</v>
      </c>
      <c r="AT130" s="14">
        <f t="shared" si="81"/>
        <v>0</v>
      </c>
      <c r="AU130" s="14">
        <f t="shared" si="82"/>
        <v>0</v>
      </c>
      <c r="AV130" s="15">
        <f t="shared" si="83"/>
        <v>0</v>
      </c>
      <c r="AW130" s="14">
        <f t="shared" si="84"/>
        <v>0</v>
      </c>
      <c r="AX130" s="14">
        <f t="shared" si="85"/>
        <v>0</v>
      </c>
      <c r="AY130" s="14">
        <f t="shared" si="86"/>
        <v>0</v>
      </c>
      <c r="AZ130" s="14">
        <f t="shared" si="87"/>
        <v>0</v>
      </c>
      <c r="BA130" s="16">
        <f t="shared" si="88"/>
        <v>0</v>
      </c>
    </row>
    <row r="131" spans="1:53" x14ac:dyDescent="0.25">
      <c r="A131" s="77">
        <v>153</v>
      </c>
      <c r="B131" s="76"/>
      <c r="C131" s="82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R131" s="14">
        <f t="shared" si="79"/>
        <v>0</v>
      </c>
      <c r="AS131" s="14">
        <f t="shared" si="80"/>
        <v>0</v>
      </c>
      <c r="AT131" s="14">
        <f t="shared" si="81"/>
        <v>0</v>
      </c>
      <c r="AU131" s="14">
        <f t="shared" si="82"/>
        <v>0</v>
      </c>
      <c r="AV131" s="15">
        <f t="shared" si="83"/>
        <v>0</v>
      </c>
      <c r="AW131" s="14">
        <f t="shared" si="84"/>
        <v>0</v>
      </c>
      <c r="AX131" s="14">
        <f t="shared" si="85"/>
        <v>0</v>
      </c>
      <c r="AY131" s="14">
        <f t="shared" si="86"/>
        <v>0</v>
      </c>
      <c r="AZ131" s="14">
        <f t="shared" si="87"/>
        <v>0</v>
      </c>
      <c r="BA131" s="16">
        <f t="shared" si="88"/>
        <v>0</v>
      </c>
    </row>
    <row r="132" spans="1:53" x14ac:dyDescent="0.25">
      <c r="A132" s="77">
        <v>154</v>
      </c>
      <c r="B132" s="76"/>
      <c r="C132" s="82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R132" s="14">
        <f t="shared" si="79"/>
        <v>0</v>
      </c>
      <c r="AS132" s="14">
        <f t="shared" si="80"/>
        <v>0</v>
      </c>
      <c r="AT132" s="14">
        <f t="shared" si="81"/>
        <v>0</v>
      </c>
      <c r="AU132" s="14">
        <f t="shared" si="82"/>
        <v>0</v>
      </c>
      <c r="AV132" s="15">
        <f t="shared" si="83"/>
        <v>0</v>
      </c>
      <c r="AW132" s="14">
        <f t="shared" si="84"/>
        <v>0</v>
      </c>
      <c r="AX132" s="14">
        <f t="shared" si="85"/>
        <v>0</v>
      </c>
      <c r="AY132" s="14">
        <f t="shared" si="86"/>
        <v>0</v>
      </c>
      <c r="AZ132" s="14">
        <f t="shared" si="87"/>
        <v>0</v>
      </c>
      <c r="BA132" s="16">
        <f t="shared" si="88"/>
        <v>0</v>
      </c>
    </row>
    <row r="133" spans="1:53" x14ac:dyDescent="0.25">
      <c r="A133" s="77">
        <v>155</v>
      </c>
      <c r="B133" s="76"/>
      <c r="C133" s="82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R133" s="14">
        <f t="shared" si="79"/>
        <v>0</v>
      </c>
      <c r="AS133" s="14">
        <f t="shared" si="80"/>
        <v>0</v>
      </c>
      <c r="AT133" s="14">
        <f t="shared" si="81"/>
        <v>0</v>
      </c>
      <c r="AU133" s="14">
        <f t="shared" si="82"/>
        <v>0</v>
      </c>
      <c r="AV133" s="15">
        <f t="shared" si="83"/>
        <v>0</v>
      </c>
      <c r="AW133" s="14">
        <f t="shared" si="84"/>
        <v>0</v>
      </c>
      <c r="AX133" s="14">
        <f t="shared" si="85"/>
        <v>0</v>
      </c>
      <c r="AY133" s="14">
        <f t="shared" si="86"/>
        <v>0</v>
      </c>
      <c r="AZ133" s="14">
        <f t="shared" si="87"/>
        <v>0</v>
      </c>
      <c r="BA133" s="16">
        <f t="shared" si="88"/>
        <v>0</v>
      </c>
    </row>
    <row r="134" spans="1:53" x14ac:dyDescent="0.25">
      <c r="A134" s="77">
        <v>156</v>
      </c>
      <c r="B134" s="76"/>
      <c r="C134" s="82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R134" s="14">
        <f t="shared" si="79"/>
        <v>0</v>
      </c>
      <c r="AS134" s="14">
        <f t="shared" si="80"/>
        <v>0</v>
      </c>
      <c r="AT134" s="14">
        <f t="shared" si="81"/>
        <v>0</v>
      </c>
      <c r="AU134" s="14">
        <f t="shared" si="82"/>
        <v>0</v>
      </c>
      <c r="AV134" s="15">
        <f t="shared" si="83"/>
        <v>0</v>
      </c>
      <c r="AW134" s="14">
        <f t="shared" si="84"/>
        <v>0</v>
      </c>
      <c r="AX134" s="14">
        <f t="shared" si="85"/>
        <v>0</v>
      </c>
      <c r="AY134" s="14">
        <f t="shared" si="86"/>
        <v>0</v>
      </c>
      <c r="AZ134" s="14">
        <f t="shared" si="87"/>
        <v>0</v>
      </c>
      <c r="BA134" s="16">
        <f t="shared" si="88"/>
        <v>0</v>
      </c>
    </row>
    <row r="135" spans="1:53" x14ac:dyDescent="0.25">
      <c r="A135" s="77">
        <v>157</v>
      </c>
      <c r="B135" s="76"/>
      <c r="C135" s="82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R135" s="14">
        <f t="shared" si="79"/>
        <v>0</v>
      </c>
      <c r="AS135" s="14">
        <f t="shared" si="80"/>
        <v>0</v>
      </c>
      <c r="AT135" s="14">
        <f t="shared" si="81"/>
        <v>0</v>
      </c>
      <c r="AU135" s="14">
        <f t="shared" si="82"/>
        <v>0</v>
      </c>
      <c r="AV135" s="15">
        <f t="shared" si="83"/>
        <v>0</v>
      </c>
      <c r="AW135" s="14">
        <f t="shared" si="84"/>
        <v>0</v>
      </c>
      <c r="AX135" s="14">
        <f t="shared" si="85"/>
        <v>0</v>
      </c>
      <c r="AY135" s="14">
        <f t="shared" si="86"/>
        <v>0</v>
      </c>
      <c r="AZ135" s="14">
        <f t="shared" si="87"/>
        <v>0</v>
      </c>
      <c r="BA135" s="16">
        <f t="shared" si="88"/>
        <v>0</v>
      </c>
    </row>
    <row r="136" spans="1:53" x14ac:dyDescent="0.25">
      <c r="A136" s="77">
        <v>158</v>
      </c>
      <c r="B136" s="76"/>
      <c r="C136" s="82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R136" s="14">
        <f t="shared" si="79"/>
        <v>0</v>
      </c>
      <c r="AS136" s="14">
        <f t="shared" si="80"/>
        <v>0</v>
      </c>
      <c r="AT136" s="14">
        <f t="shared" si="81"/>
        <v>0</v>
      </c>
      <c r="AU136" s="14">
        <f t="shared" si="82"/>
        <v>0</v>
      </c>
      <c r="AV136" s="15">
        <f t="shared" si="83"/>
        <v>0</v>
      </c>
      <c r="AW136" s="14">
        <f t="shared" si="84"/>
        <v>0</v>
      </c>
      <c r="AX136" s="14">
        <f t="shared" si="85"/>
        <v>0</v>
      </c>
      <c r="AY136" s="14">
        <f t="shared" si="86"/>
        <v>0</v>
      </c>
      <c r="AZ136" s="14">
        <f t="shared" si="87"/>
        <v>0</v>
      </c>
      <c r="BA136" s="16">
        <f t="shared" si="88"/>
        <v>0</v>
      </c>
    </row>
    <row r="137" spans="1:53" x14ac:dyDescent="0.25">
      <c r="A137" s="77">
        <v>159</v>
      </c>
      <c r="B137" s="76"/>
      <c r="C137" s="82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R137" s="14">
        <f t="shared" si="79"/>
        <v>0</v>
      </c>
      <c r="AS137" s="14">
        <f t="shared" si="80"/>
        <v>0</v>
      </c>
      <c r="AT137" s="14">
        <f t="shared" si="81"/>
        <v>0</v>
      </c>
      <c r="AU137" s="14">
        <f t="shared" si="82"/>
        <v>0</v>
      </c>
      <c r="AV137" s="15">
        <f t="shared" si="83"/>
        <v>0</v>
      </c>
      <c r="AW137" s="14">
        <f t="shared" si="84"/>
        <v>0</v>
      </c>
      <c r="AX137" s="14">
        <f t="shared" si="85"/>
        <v>0</v>
      </c>
      <c r="AY137" s="14">
        <f t="shared" si="86"/>
        <v>0</v>
      </c>
      <c r="AZ137" s="14">
        <f t="shared" si="87"/>
        <v>0</v>
      </c>
      <c r="BA137" s="16">
        <f t="shared" si="88"/>
        <v>0</v>
      </c>
    </row>
    <row r="138" spans="1:53" x14ac:dyDescent="0.25">
      <c r="A138" s="77">
        <v>160</v>
      </c>
      <c r="B138" s="76"/>
      <c r="C138" s="82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R138" s="14">
        <f t="shared" si="79"/>
        <v>0</v>
      </c>
      <c r="AS138" s="14">
        <f t="shared" si="80"/>
        <v>0</v>
      </c>
      <c r="AT138" s="14">
        <f t="shared" si="81"/>
        <v>0</v>
      </c>
      <c r="AU138" s="14">
        <f t="shared" si="82"/>
        <v>0</v>
      </c>
      <c r="AV138" s="15">
        <f t="shared" si="83"/>
        <v>0</v>
      </c>
      <c r="AW138" s="14">
        <f t="shared" si="84"/>
        <v>0</v>
      </c>
      <c r="AX138" s="14">
        <f t="shared" si="85"/>
        <v>0</v>
      </c>
      <c r="AY138" s="14">
        <f t="shared" si="86"/>
        <v>0</v>
      </c>
      <c r="AZ138" s="14">
        <f t="shared" si="87"/>
        <v>0</v>
      </c>
      <c r="BA138" s="16">
        <f t="shared" si="88"/>
        <v>0</v>
      </c>
    </row>
    <row r="139" spans="1:53" x14ac:dyDescent="0.25">
      <c r="A139" s="77">
        <v>161</v>
      </c>
      <c r="B139" s="76"/>
      <c r="C139" s="82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R139" s="14">
        <f t="shared" si="79"/>
        <v>0</v>
      </c>
      <c r="AS139" s="14">
        <f t="shared" si="80"/>
        <v>0</v>
      </c>
      <c r="AT139" s="14">
        <f t="shared" si="81"/>
        <v>0</v>
      </c>
      <c r="AU139" s="14">
        <f t="shared" si="82"/>
        <v>0</v>
      </c>
      <c r="AV139" s="15">
        <f t="shared" si="83"/>
        <v>0</v>
      </c>
      <c r="AW139" s="14">
        <f t="shared" si="84"/>
        <v>0</v>
      </c>
      <c r="AX139" s="14">
        <f t="shared" si="85"/>
        <v>0</v>
      </c>
      <c r="AY139" s="14">
        <f t="shared" si="86"/>
        <v>0</v>
      </c>
      <c r="AZ139" s="14">
        <f t="shared" si="87"/>
        <v>0</v>
      </c>
      <c r="BA139" s="16">
        <f t="shared" si="88"/>
        <v>0</v>
      </c>
    </row>
    <row r="140" spans="1:53" x14ac:dyDescent="0.25">
      <c r="A140" s="77">
        <v>162</v>
      </c>
      <c r="B140" s="76"/>
      <c r="C140" s="82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R140" s="14">
        <f t="shared" si="79"/>
        <v>0</v>
      </c>
      <c r="AS140" s="14">
        <f t="shared" si="80"/>
        <v>0</v>
      </c>
      <c r="AT140" s="14">
        <f t="shared" si="81"/>
        <v>0</v>
      </c>
      <c r="AU140" s="14">
        <f t="shared" si="82"/>
        <v>0</v>
      </c>
      <c r="AV140" s="15">
        <f t="shared" si="83"/>
        <v>0</v>
      </c>
      <c r="AW140" s="14">
        <f t="shared" si="84"/>
        <v>0</v>
      </c>
      <c r="AX140" s="14">
        <f t="shared" si="85"/>
        <v>0</v>
      </c>
      <c r="AY140" s="14">
        <f t="shared" si="86"/>
        <v>0</v>
      </c>
      <c r="AZ140" s="14">
        <f t="shared" si="87"/>
        <v>0</v>
      </c>
      <c r="BA140" s="16">
        <f t="shared" si="88"/>
        <v>0</v>
      </c>
    </row>
    <row r="141" spans="1:53" x14ac:dyDescent="0.25">
      <c r="A141" s="77">
        <v>163</v>
      </c>
      <c r="B141" s="76"/>
      <c r="C141" s="82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R141" s="14">
        <f t="shared" si="79"/>
        <v>0</v>
      </c>
      <c r="AS141" s="14">
        <f t="shared" si="80"/>
        <v>0</v>
      </c>
      <c r="AT141" s="14">
        <f t="shared" si="81"/>
        <v>0</v>
      </c>
      <c r="AU141" s="14">
        <f t="shared" si="82"/>
        <v>0</v>
      </c>
      <c r="AV141" s="15">
        <f t="shared" si="83"/>
        <v>0</v>
      </c>
      <c r="AW141" s="14">
        <f t="shared" si="84"/>
        <v>0</v>
      </c>
      <c r="AX141" s="14">
        <f t="shared" si="85"/>
        <v>0</v>
      </c>
      <c r="AY141" s="14">
        <f t="shared" si="86"/>
        <v>0</v>
      </c>
      <c r="AZ141" s="14">
        <f t="shared" si="87"/>
        <v>0</v>
      </c>
      <c r="BA141" s="16">
        <f t="shared" si="88"/>
        <v>0</v>
      </c>
    </row>
    <row r="142" spans="1:53" x14ac:dyDescent="0.25">
      <c r="A142" s="77">
        <v>164</v>
      </c>
      <c r="B142" s="76"/>
      <c r="C142" s="82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R142" s="14">
        <f t="shared" si="79"/>
        <v>0</v>
      </c>
      <c r="AS142" s="14">
        <f t="shared" si="80"/>
        <v>0</v>
      </c>
      <c r="AT142" s="14">
        <f t="shared" si="81"/>
        <v>0</v>
      </c>
      <c r="AU142" s="14">
        <f t="shared" si="82"/>
        <v>0</v>
      </c>
      <c r="AV142" s="15">
        <f t="shared" si="83"/>
        <v>0</v>
      </c>
      <c r="AW142" s="14">
        <f t="shared" si="84"/>
        <v>0</v>
      </c>
      <c r="AX142" s="14">
        <f t="shared" si="85"/>
        <v>0</v>
      </c>
      <c r="AY142" s="14">
        <f t="shared" si="86"/>
        <v>0</v>
      </c>
      <c r="AZ142" s="14">
        <f t="shared" si="87"/>
        <v>0</v>
      </c>
      <c r="BA142" s="16">
        <f t="shared" si="88"/>
        <v>0</v>
      </c>
    </row>
    <row r="143" spans="1:53" x14ac:dyDescent="0.25">
      <c r="A143" s="77">
        <v>165</v>
      </c>
      <c r="B143" s="76"/>
      <c r="C143" s="82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R143" s="14">
        <f t="shared" si="79"/>
        <v>0</v>
      </c>
      <c r="AS143" s="14">
        <f t="shared" si="80"/>
        <v>0</v>
      </c>
      <c r="AT143" s="14">
        <f t="shared" si="81"/>
        <v>0</v>
      </c>
      <c r="AU143" s="14">
        <f t="shared" si="82"/>
        <v>0</v>
      </c>
      <c r="AV143" s="15">
        <f t="shared" si="83"/>
        <v>0</v>
      </c>
      <c r="AW143" s="14">
        <f t="shared" si="84"/>
        <v>0</v>
      </c>
      <c r="AX143" s="14">
        <f t="shared" si="85"/>
        <v>0</v>
      </c>
      <c r="AY143" s="14">
        <f t="shared" si="86"/>
        <v>0</v>
      </c>
      <c r="AZ143" s="14">
        <f t="shared" si="87"/>
        <v>0</v>
      </c>
      <c r="BA143" s="16">
        <f t="shared" si="88"/>
        <v>0</v>
      </c>
    </row>
    <row r="144" spans="1:53" x14ac:dyDescent="0.25">
      <c r="A144" s="77">
        <v>166</v>
      </c>
      <c r="B144" s="76"/>
      <c r="C144" s="82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R144" s="14">
        <f t="shared" si="79"/>
        <v>0</v>
      </c>
      <c r="AS144" s="14">
        <f t="shared" si="80"/>
        <v>0</v>
      </c>
      <c r="AT144" s="14">
        <f t="shared" si="81"/>
        <v>0</v>
      </c>
      <c r="AU144" s="14">
        <f t="shared" si="82"/>
        <v>0</v>
      </c>
      <c r="AV144" s="15">
        <f t="shared" si="83"/>
        <v>0</v>
      </c>
      <c r="AW144" s="14">
        <f t="shared" si="84"/>
        <v>0</v>
      </c>
      <c r="AX144" s="14">
        <f t="shared" si="85"/>
        <v>0</v>
      </c>
      <c r="AY144" s="14">
        <f t="shared" si="86"/>
        <v>0</v>
      </c>
      <c r="AZ144" s="14">
        <f t="shared" si="87"/>
        <v>0</v>
      </c>
      <c r="BA144" s="16">
        <f t="shared" si="88"/>
        <v>0</v>
      </c>
    </row>
    <row r="145" spans="1:53" x14ac:dyDescent="0.25">
      <c r="A145" s="77">
        <v>167</v>
      </c>
      <c r="B145" s="76"/>
      <c r="C145" s="82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R145" s="14">
        <f t="shared" si="79"/>
        <v>0</v>
      </c>
      <c r="AS145" s="14">
        <f t="shared" si="80"/>
        <v>0</v>
      </c>
      <c r="AT145" s="14">
        <f t="shared" si="81"/>
        <v>0</v>
      </c>
      <c r="AU145" s="14">
        <f t="shared" si="82"/>
        <v>0</v>
      </c>
      <c r="AV145" s="15">
        <f t="shared" si="83"/>
        <v>0</v>
      </c>
      <c r="AW145" s="14">
        <f t="shared" si="84"/>
        <v>0</v>
      </c>
      <c r="AX145" s="14">
        <f t="shared" si="85"/>
        <v>0</v>
      </c>
      <c r="AY145" s="14">
        <f t="shared" si="86"/>
        <v>0</v>
      </c>
      <c r="AZ145" s="14">
        <f t="shared" si="87"/>
        <v>0</v>
      </c>
      <c r="BA145" s="16">
        <f t="shared" si="88"/>
        <v>0</v>
      </c>
    </row>
    <row r="146" spans="1:53" x14ac:dyDescent="0.25">
      <c r="A146" s="77">
        <v>168</v>
      </c>
      <c r="B146" s="76"/>
      <c r="C146" s="82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R146" s="14">
        <f t="shared" si="79"/>
        <v>0</v>
      </c>
      <c r="AS146" s="14">
        <f t="shared" si="80"/>
        <v>0</v>
      </c>
      <c r="AT146" s="14">
        <f t="shared" si="81"/>
        <v>0</v>
      </c>
      <c r="AU146" s="14">
        <f t="shared" si="82"/>
        <v>0</v>
      </c>
      <c r="AV146" s="15">
        <f t="shared" si="83"/>
        <v>0</v>
      </c>
      <c r="AW146" s="14">
        <f t="shared" si="84"/>
        <v>0</v>
      </c>
      <c r="AX146" s="14">
        <f t="shared" si="85"/>
        <v>0</v>
      </c>
      <c r="AY146" s="14">
        <f t="shared" si="86"/>
        <v>0</v>
      </c>
      <c r="AZ146" s="14">
        <f t="shared" si="87"/>
        <v>0</v>
      </c>
      <c r="BA146" s="16">
        <f t="shared" si="88"/>
        <v>0</v>
      </c>
    </row>
    <row r="147" spans="1:53" x14ac:dyDescent="0.25">
      <c r="A147" s="77">
        <v>169</v>
      </c>
      <c r="B147" s="76"/>
      <c r="C147" s="82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R147" s="14">
        <f t="shared" si="79"/>
        <v>0</v>
      </c>
      <c r="AS147" s="14">
        <f t="shared" si="80"/>
        <v>0</v>
      </c>
      <c r="AT147" s="14">
        <f t="shared" si="81"/>
        <v>0</v>
      </c>
      <c r="AU147" s="14">
        <f t="shared" si="82"/>
        <v>0</v>
      </c>
      <c r="AV147" s="15">
        <f t="shared" si="83"/>
        <v>0</v>
      </c>
      <c r="AW147" s="14">
        <f t="shared" si="84"/>
        <v>0</v>
      </c>
      <c r="AX147" s="14">
        <f t="shared" si="85"/>
        <v>0</v>
      </c>
      <c r="AY147" s="14">
        <f t="shared" si="86"/>
        <v>0</v>
      </c>
      <c r="AZ147" s="14">
        <f t="shared" si="87"/>
        <v>0</v>
      </c>
      <c r="BA147" s="16">
        <f t="shared" si="88"/>
        <v>0</v>
      </c>
    </row>
    <row r="148" spans="1:53" x14ac:dyDescent="0.25">
      <c r="A148" s="77">
        <v>170</v>
      </c>
      <c r="B148" s="76"/>
      <c r="C148" s="82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R148" s="14">
        <f t="shared" si="79"/>
        <v>0</v>
      </c>
      <c r="AS148" s="14">
        <f t="shared" si="80"/>
        <v>0</v>
      </c>
      <c r="AT148" s="14">
        <f t="shared" si="81"/>
        <v>0</v>
      </c>
      <c r="AU148" s="14">
        <f t="shared" si="82"/>
        <v>0</v>
      </c>
      <c r="AV148" s="15">
        <f t="shared" si="83"/>
        <v>0</v>
      </c>
      <c r="AW148" s="14">
        <f t="shared" si="84"/>
        <v>0</v>
      </c>
      <c r="AX148" s="14">
        <f t="shared" si="85"/>
        <v>0</v>
      </c>
      <c r="AY148" s="14">
        <f t="shared" si="86"/>
        <v>0</v>
      </c>
      <c r="AZ148" s="14">
        <f t="shared" si="87"/>
        <v>0</v>
      </c>
      <c r="BA148" s="16">
        <f t="shared" si="88"/>
        <v>0</v>
      </c>
    </row>
    <row r="149" spans="1:53" x14ac:dyDescent="0.25">
      <c r="A149" s="77">
        <v>171</v>
      </c>
      <c r="B149" s="76"/>
      <c r="C149" s="82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R149" s="14">
        <f t="shared" si="79"/>
        <v>0</v>
      </c>
      <c r="AS149" s="14">
        <f t="shared" si="80"/>
        <v>0</v>
      </c>
      <c r="AT149" s="14">
        <f t="shared" si="81"/>
        <v>0</v>
      </c>
      <c r="AU149" s="14">
        <f t="shared" si="82"/>
        <v>0</v>
      </c>
      <c r="AV149" s="15">
        <f t="shared" si="83"/>
        <v>0</v>
      </c>
      <c r="AW149" s="14">
        <f t="shared" si="84"/>
        <v>0</v>
      </c>
      <c r="AX149" s="14">
        <f t="shared" si="85"/>
        <v>0</v>
      </c>
      <c r="AY149" s="14">
        <f t="shared" si="86"/>
        <v>0</v>
      </c>
      <c r="AZ149" s="14">
        <f t="shared" si="87"/>
        <v>0</v>
      </c>
      <c r="BA149" s="16">
        <f t="shared" si="88"/>
        <v>0</v>
      </c>
    </row>
    <row r="150" spans="1:53" x14ac:dyDescent="0.25">
      <c r="A150" s="77">
        <v>172</v>
      </c>
      <c r="B150" s="76"/>
      <c r="C150" s="82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R150" s="14">
        <f t="shared" si="79"/>
        <v>0</v>
      </c>
      <c r="AS150" s="14">
        <f t="shared" si="80"/>
        <v>0</v>
      </c>
      <c r="AT150" s="14">
        <f t="shared" si="81"/>
        <v>0</v>
      </c>
      <c r="AU150" s="14">
        <f t="shared" si="82"/>
        <v>0</v>
      </c>
      <c r="AV150" s="15">
        <f t="shared" si="83"/>
        <v>0</v>
      </c>
      <c r="AW150" s="14">
        <f t="shared" si="84"/>
        <v>0</v>
      </c>
      <c r="AX150" s="14">
        <f t="shared" si="85"/>
        <v>0</v>
      </c>
      <c r="AY150" s="14">
        <f t="shared" si="86"/>
        <v>0</v>
      </c>
      <c r="AZ150" s="14">
        <f t="shared" si="87"/>
        <v>0</v>
      </c>
      <c r="BA150" s="16">
        <f t="shared" si="88"/>
        <v>0</v>
      </c>
    </row>
    <row r="151" spans="1:53" x14ac:dyDescent="0.25">
      <c r="A151" s="77">
        <v>173</v>
      </c>
      <c r="B151" s="76"/>
      <c r="C151" s="82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R151" s="14">
        <f t="shared" si="79"/>
        <v>0</v>
      </c>
      <c r="AS151" s="14">
        <f t="shared" si="80"/>
        <v>0</v>
      </c>
      <c r="AT151" s="14">
        <f t="shared" si="81"/>
        <v>0</v>
      </c>
      <c r="AU151" s="14">
        <f t="shared" si="82"/>
        <v>0</v>
      </c>
      <c r="AV151" s="15">
        <f t="shared" si="83"/>
        <v>0</v>
      </c>
      <c r="AW151" s="14">
        <f t="shared" si="84"/>
        <v>0</v>
      </c>
      <c r="AX151" s="14">
        <f t="shared" si="85"/>
        <v>0</v>
      </c>
      <c r="AY151" s="14">
        <f t="shared" si="86"/>
        <v>0</v>
      </c>
      <c r="AZ151" s="14">
        <f t="shared" si="87"/>
        <v>0</v>
      </c>
      <c r="BA151" s="16">
        <f t="shared" si="88"/>
        <v>0</v>
      </c>
    </row>
    <row r="152" spans="1:53" x14ac:dyDescent="0.25">
      <c r="A152" s="77">
        <v>174</v>
      </c>
      <c r="B152" s="76"/>
      <c r="C152" s="82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R152" s="14">
        <f t="shared" si="79"/>
        <v>0</v>
      </c>
      <c r="AS152" s="14">
        <f t="shared" si="80"/>
        <v>0</v>
      </c>
      <c r="AT152" s="14">
        <f t="shared" si="81"/>
        <v>0</v>
      </c>
      <c r="AU152" s="14">
        <f t="shared" si="82"/>
        <v>0</v>
      </c>
      <c r="AV152" s="15">
        <f t="shared" si="83"/>
        <v>0</v>
      </c>
      <c r="AW152" s="14">
        <f t="shared" si="84"/>
        <v>0</v>
      </c>
      <c r="AX152" s="14">
        <f t="shared" si="85"/>
        <v>0</v>
      </c>
      <c r="AY152" s="14">
        <f t="shared" si="86"/>
        <v>0</v>
      </c>
      <c r="AZ152" s="14">
        <f t="shared" si="87"/>
        <v>0</v>
      </c>
      <c r="BA152" s="16">
        <f t="shared" si="88"/>
        <v>0</v>
      </c>
    </row>
    <row r="153" spans="1:53" x14ac:dyDescent="0.25">
      <c r="A153" s="77">
        <v>175</v>
      </c>
      <c r="B153" s="76"/>
      <c r="C153" s="82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R153" s="14">
        <f t="shared" si="79"/>
        <v>0</v>
      </c>
      <c r="AS153" s="14">
        <f t="shared" si="80"/>
        <v>0</v>
      </c>
      <c r="AT153" s="14">
        <f t="shared" si="81"/>
        <v>0</v>
      </c>
      <c r="AU153" s="14">
        <f t="shared" si="82"/>
        <v>0</v>
      </c>
      <c r="AV153" s="15">
        <f t="shared" si="83"/>
        <v>0</v>
      </c>
      <c r="AW153" s="14">
        <f t="shared" si="84"/>
        <v>0</v>
      </c>
      <c r="AX153" s="14">
        <f t="shared" si="85"/>
        <v>0</v>
      </c>
      <c r="AY153" s="14">
        <f t="shared" si="86"/>
        <v>0</v>
      </c>
      <c r="AZ153" s="14">
        <f t="shared" si="87"/>
        <v>0</v>
      </c>
      <c r="BA153" s="16">
        <f t="shared" si="88"/>
        <v>0</v>
      </c>
    </row>
    <row r="154" spans="1:53" x14ac:dyDescent="0.25">
      <c r="A154" s="77">
        <v>176</v>
      </c>
      <c r="B154" s="76"/>
      <c r="C154" s="82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R154" s="14">
        <f t="shared" si="79"/>
        <v>0</v>
      </c>
      <c r="AS154" s="14">
        <f t="shared" si="80"/>
        <v>0</v>
      </c>
      <c r="AT154" s="14">
        <f t="shared" si="81"/>
        <v>0</v>
      </c>
      <c r="AU154" s="14">
        <f t="shared" si="82"/>
        <v>0</v>
      </c>
      <c r="AV154" s="15">
        <f t="shared" si="83"/>
        <v>0</v>
      </c>
      <c r="AW154" s="14">
        <f t="shared" si="84"/>
        <v>0</v>
      </c>
      <c r="AX154" s="14">
        <f t="shared" si="85"/>
        <v>0</v>
      </c>
      <c r="AY154" s="14">
        <f t="shared" si="86"/>
        <v>0</v>
      </c>
      <c r="AZ154" s="14">
        <f t="shared" si="87"/>
        <v>0</v>
      </c>
      <c r="BA154" s="16">
        <f t="shared" si="88"/>
        <v>0</v>
      </c>
    </row>
    <row r="155" spans="1:53" x14ac:dyDescent="0.25">
      <c r="A155" s="77">
        <v>177</v>
      </c>
      <c r="B155" s="76"/>
      <c r="C155" s="82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R155" s="14">
        <f t="shared" si="79"/>
        <v>0</v>
      </c>
      <c r="AS155" s="14">
        <f t="shared" si="80"/>
        <v>0</v>
      </c>
      <c r="AT155" s="14">
        <f t="shared" si="81"/>
        <v>0</v>
      </c>
      <c r="AU155" s="14">
        <f t="shared" si="82"/>
        <v>0</v>
      </c>
      <c r="AV155" s="15">
        <f t="shared" si="83"/>
        <v>0</v>
      </c>
      <c r="AW155" s="14">
        <f t="shared" si="84"/>
        <v>0</v>
      </c>
      <c r="AX155" s="14">
        <f t="shared" si="85"/>
        <v>0</v>
      </c>
      <c r="AY155" s="14">
        <f t="shared" si="86"/>
        <v>0</v>
      </c>
      <c r="AZ155" s="14">
        <f t="shared" si="87"/>
        <v>0</v>
      </c>
      <c r="BA155" s="16">
        <f t="shared" si="88"/>
        <v>0</v>
      </c>
    </row>
    <row r="156" spans="1:53" x14ac:dyDescent="0.25">
      <c r="A156" s="77">
        <v>178</v>
      </c>
      <c r="B156" s="76"/>
      <c r="C156" s="82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R156" s="14">
        <f t="shared" si="79"/>
        <v>0</v>
      </c>
      <c r="AS156" s="14">
        <f t="shared" si="80"/>
        <v>0</v>
      </c>
      <c r="AT156" s="14">
        <f t="shared" si="81"/>
        <v>0</v>
      </c>
      <c r="AU156" s="14">
        <f t="shared" si="82"/>
        <v>0</v>
      </c>
      <c r="AV156" s="15">
        <f t="shared" si="83"/>
        <v>0</v>
      </c>
      <c r="AW156" s="14">
        <f t="shared" si="84"/>
        <v>0</v>
      </c>
      <c r="AX156" s="14">
        <f t="shared" si="85"/>
        <v>0</v>
      </c>
      <c r="AY156" s="14">
        <f t="shared" si="86"/>
        <v>0</v>
      </c>
      <c r="AZ156" s="14">
        <f t="shared" si="87"/>
        <v>0</v>
      </c>
      <c r="BA156" s="16">
        <f t="shared" si="88"/>
        <v>0</v>
      </c>
    </row>
    <row r="157" spans="1:53" x14ac:dyDescent="0.25">
      <c r="A157" s="77">
        <v>179</v>
      </c>
      <c r="B157" s="76"/>
      <c r="C157" s="82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R157" s="14">
        <f t="shared" si="79"/>
        <v>0</v>
      </c>
      <c r="AS157" s="14">
        <f t="shared" si="80"/>
        <v>0</v>
      </c>
      <c r="AT157" s="14">
        <f t="shared" si="81"/>
        <v>0</v>
      </c>
      <c r="AU157" s="14">
        <f t="shared" si="82"/>
        <v>0</v>
      </c>
      <c r="AV157" s="15">
        <f t="shared" si="83"/>
        <v>0</v>
      </c>
      <c r="AW157" s="14">
        <f t="shared" si="84"/>
        <v>0</v>
      </c>
      <c r="AX157" s="14">
        <f t="shared" si="85"/>
        <v>0</v>
      </c>
      <c r="AY157" s="14">
        <f t="shared" si="86"/>
        <v>0</v>
      </c>
      <c r="AZ157" s="14">
        <f t="shared" si="87"/>
        <v>0</v>
      </c>
      <c r="BA157" s="16">
        <f t="shared" si="88"/>
        <v>0</v>
      </c>
    </row>
    <row r="158" spans="1:53" x14ac:dyDescent="0.25">
      <c r="A158" s="77">
        <v>180</v>
      </c>
      <c r="B158" s="76"/>
      <c r="C158" s="82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R158" s="14">
        <f t="shared" si="79"/>
        <v>0</v>
      </c>
      <c r="AS158" s="14">
        <f t="shared" si="80"/>
        <v>0</v>
      </c>
      <c r="AT158" s="14">
        <f t="shared" si="81"/>
        <v>0</v>
      </c>
      <c r="AU158" s="14">
        <f t="shared" si="82"/>
        <v>0</v>
      </c>
      <c r="AV158" s="15">
        <f t="shared" si="83"/>
        <v>0</v>
      </c>
      <c r="AW158" s="14">
        <f t="shared" si="84"/>
        <v>0</v>
      </c>
      <c r="AX158" s="14">
        <f t="shared" si="85"/>
        <v>0</v>
      </c>
      <c r="AY158" s="14">
        <f t="shared" si="86"/>
        <v>0</v>
      </c>
      <c r="AZ158" s="14">
        <f t="shared" si="87"/>
        <v>0</v>
      </c>
      <c r="BA158" s="16">
        <f t="shared" si="88"/>
        <v>0</v>
      </c>
    </row>
    <row r="159" spans="1:53" x14ac:dyDescent="0.25">
      <c r="A159" s="77">
        <v>181</v>
      </c>
      <c r="B159" s="76"/>
      <c r="C159" s="82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R159" s="14">
        <f t="shared" si="79"/>
        <v>0</v>
      </c>
      <c r="AS159" s="14">
        <f t="shared" si="80"/>
        <v>0</v>
      </c>
      <c r="AT159" s="14">
        <f t="shared" si="81"/>
        <v>0</v>
      </c>
      <c r="AU159" s="14">
        <f t="shared" si="82"/>
        <v>0</v>
      </c>
      <c r="AV159" s="15">
        <f t="shared" si="83"/>
        <v>0</v>
      </c>
      <c r="AW159" s="14">
        <f t="shared" si="84"/>
        <v>0</v>
      </c>
      <c r="AX159" s="14">
        <f t="shared" si="85"/>
        <v>0</v>
      </c>
      <c r="AY159" s="14">
        <f t="shared" si="86"/>
        <v>0</v>
      </c>
      <c r="AZ159" s="14">
        <f t="shared" si="87"/>
        <v>0</v>
      </c>
      <c r="BA159" s="16">
        <f t="shared" si="88"/>
        <v>0</v>
      </c>
    </row>
    <row r="160" spans="1:53" x14ac:dyDescent="0.25">
      <c r="A160" s="77">
        <v>182</v>
      </c>
      <c r="B160" s="76"/>
      <c r="C160" s="82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R160" s="14">
        <f t="shared" si="79"/>
        <v>0</v>
      </c>
      <c r="AS160" s="14">
        <f t="shared" si="80"/>
        <v>0</v>
      </c>
      <c r="AT160" s="14">
        <f t="shared" si="81"/>
        <v>0</v>
      </c>
      <c r="AU160" s="14">
        <f t="shared" si="82"/>
        <v>0</v>
      </c>
      <c r="AV160" s="15">
        <f t="shared" si="83"/>
        <v>0</v>
      </c>
      <c r="AW160" s="14">
        <f t="shared" si="84"/>
        <v>0</v>
      </c>
      <c r="AX160" s="14">
        <f t="shared" si="85"/>
        <v>0</v>
      </c>
      <c r="AY160" s="14">
        <f t="shared" si="86"/>
        <v>0</v>
      </c>
      <c r="AZ160" s="14">
        <f t="shared" si="87"/>
        <v>0</v>
      </c>
      <c r="BA160" s="16">
        <f t="shared" si="88"/>
        <v>0</v>
      </c>
    </row>
    <row r="161" spans="1:53" x14ac:dyDescent="0.25">
      <c r="A161" s="77">
        <v>183</v>
      </c>
      <c r="B161" s="76"/>
      <c r="C161" s="82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R161" s="14">
        <f t="shared" si="79"/>
        <v>0</v>
      </c>
      <c r="AS161" s="14">
        <f t="shared" si="80"/>
        <v>0</v>
      </c>
      <c r="AT161" s="14">
        <f t="shared" si="81"/>
        <v>0</v>
      </c>
      <c r="AU161" s="14">
        <f t="shared" si="82"/>
        <v>0</v>
      </c>
      <c r="AV161" s="15">
        <f t="shared" si="83"/>
        <v>0</v>
      </c>
      <c r="AW161" s="14">
        <f t="shared" si="84"/>
        <v>0</v>
      </c>
      <c r="AX161" s="14">
        <f t="shared" si="85"/>
        <v>0</v>
      </c>
      <c r="AY161" s="14">
        <f t="shared" si="86"/>
        <v>0</v>
      </c>
      <c r="AZ161" s="14">
        <f t="shared" si="87"/>
        <v>0</v>
      </c>
      <c r="BA161" s="16">
        <f t="shared" si="88"/>
        <v>0</v>
      </c>
    </row>
    <row r="162" spans="1:53" x14ac:dyDescent="0.25">
      <c r="A162" s="77">
        <v>184</v>
      </c>
      <c r="B162" s="76"/>
      <c r="C162" s="82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R162" s="14">
        <f t="shared" si="79"/>
        <v>0</v>
      </c>
      <c r="AS162" s="14">
        <f t="shared" si="80"/>
        <v>0</v>
      </c>
      <c r="AT162" s="14">
        <f t="shared" si="81"/>
        <v>0</v>
      </c>
      <c r="AU162" s="14">
        <f t="shared" si="82"/>
        <v>0</v>
      </c>
      <c r="AV162" s="15">
        <f t="shared" si="83"/>
        <v>0</v>
      </c>
      <c r="AW162" s="14">
        <f t="shared" si="84"/>
        <v>0</v>
      </c>
      <c r="AX162" s="14">
        <f t="shared" si="85"/>
        <v>0</v>
      </c>
      <c r="AY162" s="14">
        <f t="shared" si="86"/>
        <v>0</v>
      </c>
      <c r="AZ162" s="14">
        <f t="shared" si="87"/>
        <v>0</v>
      </c>
      <c r="BA162" s="16">
        <f t="shared" si="88"/>
        <v>0</v>
      </c>
    </row>
    <row r="163" spans="1:53" x14ac:dyDescent="0.25">
      <c r="A163" s="77">
        <v>185</v>
      </c>
      <c r="B163" s="76"/>
      <c r="C163" s="82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R163" s="14">
        <f t="shared" si="79"/>
        <v>0</v>
      </c>
      <c r="AS163" s="14">
        <f t="shared" si="80"/>
        <v>0</v>
      </c>
      <c r="AT163" s="14">
        <f t="shared" si="81"/>
        <v>0</v>
      </c>
      <c r="AU163" s="14">
        <f t="shared" si="82"/>
        <v>0</v>
      </c>
      <c r="AV163" s="15">
        <f t="shared" si="83"/>
        <v>0</v>
      </c>
      <c r="AW163" s="14">
        <f t="shared" si="84"/>
        <v>0</v>
      </c>
      <c r="AX163" s="14">
        <f t="shared" si="85"/>
        <v>0</v>
      </c>
      <c r="AY163" s="14">
        <f t="shared" si="86"/>
        <v>0</v>
      </c>
      <c r="AZ163" s="14">
        <f t="shared" si="87"/>
        <v>0</v>
      </c>
      <c r="BA163" s="16">
        <f t="shared" si="88"/>
        <v>0</v>
      </c>
    </row>
    <row r="164" spans="1:53" x14ac:dyDescent="0.25">
      <c r="A164" s="77">
        <v>186</v>
      </c>
      <c r="B164" s="76"/>
      <c r="C164" s="82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R164" s="14">
        <f t="shared" si="79"/>
        <v>0</v>
      </c>
      <c r="AS164" s="14">
        <f t="shared" si="80"/>
        <v>0</v>
      </c>
      <c r="AT164" s="14">
        <f t="shared" si="81"/>
        <v>0</v>
      </c>
      <c r="AU164" s="14">
        <f t="shared" si="82"/>
        <v>0</v>
      </c>
      <c r="AV164" s="15">
        <f t="shared" si="83"/>
        <v>0</v>
      </c>
      <c r="AW164" s="14">
        <f t="shared" si="84"/>
        <v>0</v>
      </c>
      <c r="AX164" s="14">
        <f t="shared" si="85"/>
        <v>0</v>
      </c>
      <c r="AY164" s="14">
        <f t="shared" si="86"/>
        <v>0</v>
      </c>
      <c r="AZ164" s="14">
        <f t="shared" si="87"/>
        <v>0</v>
      </c>
      <c r="BA164" s="16">
        <f t="shared" si="88"/>
        <v>0</v>
      </c>
    </row>
    <row r="165" spans="1:53" x14ac:dyDescent="0.25">
      <c r="A165" s="77">
        <v>187</v>
      </c>
      <c r="B165" s="76"/>
      <c r="C165" s="82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R165" s="14">
        <f t="shared" si="79"/>
        <v>0</v>
      </c>
      <c r="AS165" s="14">
        <f t="shared" si="80"/>
        <v>0</v>
      </c>
      <c r="AT165" s="14">
        <f t="shared" si="81"/>
        <v>0</v>
      </c>
      <c r="AU165" s="14">
        <f t="shared" si="82"/>
        <v>0</v>
      </c>
      <c r="AV165" s="15">
        <f t="shared" si="83"/>
        <v>0</v>
      </c>
      <c r="AW165" s="14">
        <f t="shared" si="84"/>
        <v>0</v>
      </c>
      <c r="AX165" s="14">
        <f t="shared" si="85"/>
        <v>0</v>
      </c>
      <c r="AY165" s="14">
        <f t="shared" si="86"/>
        <v>0</v>
      </c>
      <c r="AZ165" s="14">
        <f t="shared" si="87"/>
        <v>0</v>
      </c>
      <c r="BA165" s="16">
        <f t="shared" si="88"/>
        <v>0</v>
      </c>
    </row>
    <row r="166" spans="1:53" x14ac:dyDescent="0.25">
      <c r="A166" s="77">
        <v>188</v>
      </c>
      <c r="B166" s="76"/>
      <c r="C166" s="82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R166" s="14">
        <f t="shared" si="79"/>
        <v>0</v>
      </c>
      <c r="AS166" s="14">
        <f t="shared" si="80"/>
        <v>0</v>
      </c>
      <c r="AT166" s="14">
        <f t="shared" si="81"/>
        <v>0</v>
      </c>
      <c r="AU166" s="14">
        <f t="shared" si="82"/>
        <v>0</v>
      </c>
      <c r="AV166" s="15">
        <f t="shared" si="83"/>
        <v>0</v>
      </c>
      <c r="AW166" s="14">
        <f t="shared" si="84"/>
        <v>0</v>
      </c>
      <c r="AX166" s="14">
        <f t="shared" si="85"/>
        <v>0</v>
      </c>
      <c r="AY166" s="14">
        <f t="shared" si="86"/>
        <v>0</v>
      </c>
      <c r="AZ166" s="14">
        <f t="shared" si="87"/>
        <v>0</v>
      </c>
      <c r="BA166" s="16">
        <f t="shared" si="88"/>
        <v>0</v>
      </c>
    </row>
    <row r="167" spans="1:53" x14ac:dyDescent="0.25">
      <c r="A167" s="77">
        <v>189</v>
      </c>
      <c r="B167" s="76"/>
      <c r="C167" s="82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R167" s="14">
        <f t="shared" si="79"/>
        <v>0</v>
      </c>
      <c r="AS167" s="14">
        <f t="shared" si="80"/>
        <v>0</v>
      </c>
      <c r="AT167" s="14">
        <f t="shared" si="81"/>
        <v>0</v>
      </c>
      <c r="AU167" s="14">
        <f t="shared" si="82"/>
        <v>0</v>
      </c>
      <c r="AV167" s="15">
        <f t="shared" si="83"/>
        <v>0</v>
      </c>
      <c r="AW167" s="14">
        <f t="shared" si="84"/>
        <v>0</v>
      </c>
      <c r="AX167" s="14">
        <f t="shared" si="85"/>
        <v>0</v>
      </c>
      <c r="AY167" s="14">
        <f t="shared" si="86"/>
        <v>0</v>
      </c>
      <c r="AZ167" s="14">
        <f t="shared" si="87"/>
        <v>0</v>
      </c>
      <c r="BA167" s="16">
        <f t="shared" si="88"/>
        <v>0</v>
      </c>
    </row>
    <row r="168" spans="1:53" x14ac:dyDescent="0.25">
      <c r="A168" s="77">
        <v>190</v>
      </c>
      <c r="B168" s="76"/>
      <c r="C168" s="82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R168" s="14">
        <f t="shared" si="79"/>
        <v>0</v>
      </c>
      <c r="AS168" s="14">
        <f t="shared" si="80"/>
        <v>0</v>
      </c>
      <c r="AT168" s="14">
        <f t="shared" si="81"/>
        <v>0</v>
      </c>
      <c r="AU168" s="14">
        <f t="shared" si="82"/>
        <v>0</v>
      </c>
      <c r="AV168" s="15">
        <f t="shared" si="83"/>
        <v>0</v>
      </c>
      <c r="AW168" s="14">
        <f t="shared" si="84"/>
        <v>0</v>
      </c>
      <c r="AX168" s="14">
        <f t="shared" si="85"/>
        <v>0</v>
      </c>
      <c r="AY168" s="14">
        <f t="shared" si="86"/>
        <v>0</v>
      </c>
      <c r="AZ168" s="14">
        <f t="shared" si="87"/>
        <v>0</v>
      </c>
      <c r="BA168" s="16">
        <f t="shared" si="88"/>
        <v>0</v>
      </c>
    </row>
    <row r="169" spans="1:53" x14ac:dyDescent="0.25">
      <c r="A169" s="77">
        <v>191</v>
      </c>
      <c r="B169" s="76"/>
      <c r="C169" s="82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R169" s="14">
        <f t="shared" si="79"/>
        <v>0</v>
      </c>
      <c r="AS169" s="14">
        <f t="shared" si="80"/>
        <v>0</v>
      </c>
      <c r="AT169" s="14">
        <f t="shared" si="81"/>
        <v>0</v>
      </c>
      <c r="AU169" s="14">
        <f t="shared" si="82"/>
        <v>0</v>
      </c>
      <c r="AV169" s="15">
        <f t="shared" si="83"/>
        <v>0</v>
      </c>
      <c r="AW169" s="14">
        <f t="shared" si="84"/>
        <v>0</v>
      </c>
      <c r="AX169" s="14">
        <f t="shared" si="85"/>
        <v>0</v>
      </c>
      <c r="AY169" s="14">
        <f t="shared" si="86"/>
        <v>0</v>
      </c>
      <c r="AZ169" s="14">
        <f t="shared" si="87"/>
        <v>0</v>
      </c>
      <c r="BA169" s="16">
        <f t="shared" si="88"/>
        <v>0</v>
      </c>
    </row>
    <row r="170" spans="1:53" x14ac:dyDescent="0.25">
      <c r="A170" s="77">
        <v>192</v>
      </c>
      <c r="B170" s="76"/>
      <c r="C170" s="82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R170" s="14">
        <f t="shared" si="79"/>
        <v>0</v>
      </c>
      <c r="AS170" s="14">
        <f t="shared" si="80"/>
        <v>0</v>
      </c>
      <c r="AT170" s="14">
        <f t="shared" si="81"/>
        <v>0</v>
      </c>
      <c r="AU170" s="14">
        <f t="shared" si="82"/>
        <v>0</v>
      </c>
      <c r="AV170" s="15">
        <f t="shared" si="83"/>
        <v>0</v>
      </c>
      <c r="AW170" s="14">
        <f t="shared" si="84"/>
        <v>0</v>
      </c>
      <c r="AX170" s="14">
        <f t="shared" si="85"/>
        <v>0</v>
      </c>
      <c r="AY170" s="14">
        <f t="shared" si="86"/>
        <v>0</v>
      </c>
      <c r="AZ170" s="14">
        <f t="shared" si="87"/>
        <v>0</v>
      </c>
      <c r="BA170" s="16">
        <f t="shared" si="88"/>
        <v>0</v>
      </c>
    </row>
    <row r="171" spans="1:53" x14ac:dyDescent="0.25">
      <c r="A171" s="77">
        <v>193</v>
      </c>
      <c r="B171" s="76"/>
      <c r="C171" s="82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R171" s="14">
        <f t="shared" si="79"/>
        <v>0</v>
      </c>
      <c r="AS171" s="14">
        <f t="shared" si="80"/>
        <v>0</v>
      </c>
      <c r="AT171" s="14">
        <f t="shared" si="81"/>
        <v>0</v>
      </c>
      <c r="AU171" s="14">
        <f t="shared" si="82"/>
        <v>0</v>
      </c>
      <c r="AV171" s="15">
        <f t="shared" si="83"/>
        <v>0</v>
      </c>
      <c r="AW171" s="14">
        <f t="shared" si="84"/>
        <v>0</v>
      </c>
      <c r="AX171" s="14">
        <f t="shared" si="85"/>
        <v>0</v>
      </c>
      <c r="AY171" s="14">
        <f t="shared" si="86"/>
        <v>0</v>
      </c>
      <c r="AZ171" s="14">
        <f t="shared" si="87"/>
        <v>0</v>
      </c>
      <c r="BA171" s="16">
        <f t="shared" si="88"/>
        <v>0</v>
      </c>
    </row>
    <row r="172" spans="1:53" x14ac:dyDescent="0.25">
      <c r="A172" s="77">
        <v>194</v>
      </c>
    </row>
    <row r="173" spans="1:53" x14ac:dyDescent="0.25">
      <c r="A173" s="77">
        <v>195</v>
      </c>
    </row>
    <row r="174" spans="1:53" x14ac:dyDescent="0.25">
      <c r="A174" s="77">
        <v>196</v>
      </c>
    </row>
    <row r="175" spans="1:53" x14ac:dyDescent="0.25">
      <c r="A175" s="77">
        <v>197</v>
      </c>
    </row>
    <row r="176" spans="1:53" x14ac:dyDescent="0.25">
      <c r="A176" s="77">
        <v>198</v>
      </c>
    </row>
    <row r="177" spans="1:1" x14ac:dyDescent="0.25">
      <c r="A177" s="77">
        <v>199</v>
      </c>
    </row>
  </sheetData>
  <sheetProtection selectLockedCells="1"/>
  <autoFilter ref="A3:AP177" xr:uid="{00000000-0009-0000-0000-000005000000}"/>
  <mergeCells count="1">
    <mergeCell ref="B2:C2"/>
  </mergeCells>
  <conditionalFormatting sqref="B3:P3 AF3:AL3">
    <cfRule type="expression" dxfId="30" priority="4">
      <formula>_xludf.MOD(_xludf.ROW(),2)=0</formula>
    </cfRule>
  </conditionalFormatting>
  <conditionalFormatting sqref="A3">
    <cfRule type="expression" dxfId="29" priority="3">
      <formula>_xludf.MOD(_xludf.ROW(),2)=0</formula>
    </cfRule>
  </conditionalFormatting>
  <conditionalFormatting sqref="Q3:AE3 AM3:AP3">
    <cfRule type="expression" dxfId="28" priority="2">
      <formula>_xludf.MOD(_xludf.ROW(),2)=0</formula>
    </cfRule>
  </conditionalFormatting>
  <pageMargins left="0.7" right="0.7" top="0.75" bottom="0.75" header="0.3" footer="0.3"/>
  <pageSetup orientation="portrait" r:id="rId1"/>
  <ignoredErrors>
    <ignoredError sqref="AR5:AZ12 AR4:AS4 AU4:AZ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4"/>
  <dimension ref="A1:BP27"/>
  <sheetViews>
    <sheetView showGridLines="0" zoomScale="80" zoomScaleNormal="80" workbookViewId="0">
      <pane xSplit="3" ySplit="3" topLeftCell="AE4" activePane="bottomRight" state="frozen"/>
      <selection activeCell="M2" sqref="M2"/>
      <selection pane="topRight" activeCell="M2" sqref="M2"/>
      <selection pane="bottomLeft" activeCell="M2" sqref="M2"/>
      <selection pane="bottomRight" activeCell="AG32" sqref="AG32"/>
    </sheetView>
  </sheetViews>
  <sheetFormatPr baseColWidth="10" defaultColWidth="11.42578125" defaultRowHeight="15" x14ac:dyDescent="0.25"/>
  <cols>
    <col min="1" max="1" width="6.42578125" style="53" customWidth="1"/>
    <col min="2" max="2" width="100.28515625" style="93" customWidth="1"/>
    <col min="3" max="3" width="17.5703125" style="204" customWidth="1"/>
    <col min="4" max="4" width="15.28515625" style="8" bestFit="1" customWidth="1"/>
    <col min="5" max="5" width="15.28515625" style="8" customWidth="1"/>
    <col min="6" max="6" width="15.140625" style="8" customWidth="1"/>
    <col min="7" max="7" width="10.85546875" style="8" customWidth="1"/>
    <col min="8" max="8" width="13.140625" style="8" customWidth="1"/>
    <col min="9" max="9" width="15.140625" style="8" customWidth="1"/>
    <col min="10" max="10" width="12.42578125" style="8" customWidth="1"/>
    <col min="11" max="11" width="11.42578125" style="8" bestFit="1" customWidth="1"/>
    <col min="12" max="12" width="11.7109375" style="8" customWidth="1"/>
    <col min="13" max="15" width="12.85546875" style="8" customWidth="1"/>
    <col min="16" max="20" width="10.7109375" style="8" customWidth="1"/>
    <col min="21" max="21" width="12.5703125" style="8" customWidth="1"/>
    <col min="22" max="31" width="10.7109375" style="8" customWidth="1"/>
    <col min="32" max="32" width="12.7109375" style="8" customWidth="1"/>
    <col min="33" max="33" width="10.7109375" style="8" customWidth="1"/>
    <col min="34" max="34" width="12.85546875" style="8" customWidth="1"/>
    <col min="35" max="35" width="10.7109375" style="8" customWidth="1"/>
    <col min="36" max="36" width="12.28515625" style="8" customWidth="1"/>
    <col min="37" max="38" width="10.7109375" style="8" customWidth="1"/>
    <col min="39" max="39" width="13" style="8" customWidth="1"/>
    <col min="40" max="40" width="12.140625" style="8" customWidth="1"/>
    <col min="41" max="41" width="10.7109375" style="8" customWidth="1"/>
    <col min="42" max="42" width="14.28515625" style="8" customWidth="1"/>
    <col min="43" max="43" width="13.42578125" style="8" customWidth="1"/>
    <col min="44" max="44" width="12.7109375" style="8" customWidth="1"/>
    <col min="45" max="45" width="3.42578125" style="8" customWidth="1"/>
    <col min="46" max="46" width="15.5703125" style="8" customWidth="1"/>
    <col min="47" max="52" width="10.7109375" style="8" customWidth="1"/>
    <col min="53" max="53" width="13" style="8" customWidth="1"/>
    <col min="54" max="54" width="15.85546875" style="8" customWidth="1"/>
    <col min="55" max="55" width="13.85546875" style="8" customWidth="1"/>
    <col min="56" max="56" width="13" style="8" customWidth="1"/>
    <col min="57" max="57" width="13.7109375" style="42" customWidth="1"/>
    <col min="58" max="58" width="9.42578125" style="43" customWidth="1"/>
    <col min="59" max="59" width="10.28515625" style="8" customWidth="1"/>
    <col min="60" max="60" width="9.5703125" style="8" customWidth="1"/>
    <col min="61" max="61" width="9.28515625" style="8" customWidth="1"/>
    <col min="62" max="62" width="9.140625" style="8" customWidth="1"/>
    <col min="63" max="63" width="8.140625" style="8" customWidth="1"/>
    <col min="64" max="65" width="11.42578125" style="8" customWidth="1"/>
    <col min="66" max="75" width="7.42578125" style="8" customWidth="1"/>
    <col min="76" max="16384" width="11.42578125" style="8"/>
  </cols>
  <sheetData>
    <row r="1" spans="1:68" ht="1.5" customHeight="1" x14ac:dyDescent="0.25">
      <c r="B1" s="91"/>
      <c r="C1" s="202"/>
      <c r="G1" s="40"/>
      <c r="H1" s="40"/>
      <c r="K1" s="41"/>
      <c r="L1" s="35"/>
      <c r="M1" s="35"/>
      <c r="N1" s="35"/>
      <c r="O1" s="35"/>
    </row>
    <row r="2" spans="1:68" ht="24" thickBot="1" x14ac:dyDescent="0.4">
      <c r="B2" s="44" t="str">
        <f>"INDICADORES   " &amp; Config!B15&amp;"   "&amp;Config!E12</f>
        <v>INDICADORES   RED   2022</v>
      </c>
      <c r="C2" s="203"/>
      <c r="G2" s="40"/>
      <c r="H2" s="40"/>
      <c r="K2" s="41"/>
      <c r="L2" s="35"/>
      <c r="M2" s="35"/>
      <c r="N2" s="72">
        <v>27097</v>
      </c>
      <c r="O2" s="72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6"/>
      <c r="BF2" s="47"/>
      <c r="BG2" s="45"/>
      <c r="BH2" s="45"/>
      <c r="BI2" s="45"/>
      <c r="BJ2" s="45"/>
      <c r="BK2" s="45"/>
      <c r="BL2" s="45"/>
      <c r="BM2" s="45"/>
      <c r="BN2" s="45"/>
      <c r="BO2" s="45"/>
      <c r="BP2" s="45"/>
    </row>
    <row r="3" spans="1:68" s="35" customFormat="1" ht="51.75" thickBot="1" x14ac:dyDescent="0.3">
      <c r="A3" s="64" t="s">
        <v>6</v>
      </c>
      <c r="B3" s="92" t="s">
        <v>60</v>
      </c>
      <c r="C3" s="61" t="s">
        <v>0</v>
      </c>
      <c r="D3" s="60" t="s">
        <v>20</v>
      </c>
      <c r="E3" s="60" t="s">
        <v>319</v>
      </c>
      <c r="F3" s="60" t="s">
        <v>21</v>
      </c>
      <c r="G3" s="60" t="s">
        <v>22</v>
      </c>
      <c r="H3" s="60" t="s">
        <v>23</v>
      </c>
      <c r="I3" s="60" t="s">
        <v>24</v>
      </c>
      <c r="J3" s="60" t="s">
        <v>25</v>
      </c>
      <c r="K3" s="60" t="s">
        <v>26</v>
      </c>
      <c r="L3" s="60" t="s">
        <v>27</v>
      </c>
      <c r="M3" s="60" t="s">
        <v>28</v>
      </c>
      <c r="N3" s="60" t="s">
        <v>74</v>
      </c>
      <c r="O3" s="60" t="s">
        <v>320</v>
      </c>
      <c r="P3" s="60" t="s">
        <v>33</v>
      </c>
      <c r="Q3" s="60" t="s">
        <v>34</v>
      </c>
      <c r="R3" s="60" t="s">
        <v>35</v>
      </c>
      <c r="S3" s="60" t="s">
        <v>39</v>
      </c>
      <c r="T3" s="60" t="s">
        <v>40</v>
      </c>
      <c r="U3" s="60" t="s">
        <v>41</v>
      </c>
      <c r="V3" s="60" t="s">
        <v>42</v>
      </c>
      <c r="W3" s="60" t="s">
        <v>43</v>
      </c>
      <c r="X3" s="60" t="s">
        <v>44</v>
      </c>
      <c r="Y3" s="60" t="s">
        <v>45</v>
      </c>
      <c r="Z3" s="60" t="s">
        <v>46</v>
      </c>
      <c r="AA3" s="60" t="s">
        <v>47</v>
      </c>
      <c r="AB3" s="60" t="s">
        <v>48</v>
      </c>
      <c r="AC3" s="60" t="s">
        <v>49</v>
      </c>
      <c r="AD3" s="60" t="s">
        <v>50</v>
      </c>
      <c r="AE3" s="60" t="s">
        <v>51</v>
      </c>
      <c r="AF3" s="60" t="s">
        <v>52</v>
      </c>
      <c r="AG3" s="60" t="s">
        <v>53</v>
      </c>
      <c r="AH3" s="60" t="s">
        <v>36</v>
      </c>
      <c r="AI3" s="60" t="s">
        <v>37</v>
      </c>
      <c r="AJ3" s="60" t="s">
        <v>38</v>
      </c>
      <c r="AK3" s="60" t="s">
        <v>29</v>
      </c>
      <c r="AL3" s="60" t="s">
        <v>30</v>
      </c>
      <c r="AM3" s="60" t="s">
        <v>31</v>
      </c>
      <c r="AN3" s="60" t="s">
        <v>32</v>
      </c>
      <c r="AO3" s="60" t="s">
        <v>3</v>
      </c>
      <c r="AP3" s="60" t="s">
        <v>4</v>
      </c>
      <c r="AQ3" s="60" t="s">
        <v>5</v>
      </c>
      <c r="AR3" s="60" t="s">
        <v>19</v>
      </c>
      <c r="AS3" s="8"/>
      <c r="AT3" s="58" t="str">
        <f>Config!D16</f>
        <v>HOSPITAL</v>
      </c>
      <c r="AU3" s="58" t="str">
        <f>Config!D17</f>
        <v>LLUILLUCUCHA</v>
      </c>
      <c r="AV3" s="58" t="str">
        <f>Config!D18</f>
        <v>JERILLO</v>
      </c>
      <c r="AW3" s="58" t="str">
        <f>Config!D19</f>
        <v>YANTALO</v>
      </c>
      <c r="AX3" s="58" t="str">
        <f>Config!D20</f>
        <v>SORITOR</v>
      </c>
      <c r="AY3" s="58" t="str">
        <f>Config!D21</f>
        <v>JEPELACIO</v>
      </c>
      <c r="AZ3" s="58" t="str">
        <f>Config!D22</f>
        <v>ROQUE</v>
      </c>
      <c r="BA3" s="58" t="str">
        <f>Config!D23</f>
        <v>CALZADA</v>
      </c>
      <c r="BB3" s="58" t="str">
        <f>Config!D24</f>
        <v>PUEBLO LIBRE</v>
      </c>
      <c r="BC3" s="59" t="str">
        <f>Config!D15</f>
        <v>RED MOYOBAMBA</v>
      </c>
      <c r="BE3" s="37" t="s">
        <v>61</v>
      </c>
      <c r="BF3" s="38" t="s">
        <v>62</v>
      </c>
      <c r="BG3" s="39" t="s">
        <v>63</v>
      </c>
      <c r="BH3" s="39" t="s">
        <v>64</v>
      </c>
      <c r="BI3" s="39" t="s">
        <v>65</v>
      </c>
      <c r="BJ3" s="39" t="s">
        <v>66</v>
      </c>
      <c r="BK3" s="39" t="s">
        <v>67</v>
      </c>
    </row>
    <row r="4" spans="1:68" x14ac:dyDescent="0.25">
      <c r="A4" s="198">
        <f>+METAS!A91</f>
        <v>88</v>
      </c>
      <c r="B4" s="198" t="str">
        <f>+METAS!B91</f>
        <v>RECIEN NACIDO  CON DOS  CONTROLES CRED</v>
      </c>
      <c r="C4" s="197" t="str">
        <f>+METAS!C91</f>
        <v>NIÑO</v>
      </c>
      <c r="D4" s="199">
        <v>0</v>
      </c>
      <c r="E4" s="199">
        <v>0</v>
      </c>
      <c r="F4" s="199">
        <v>225</v>
      </c>
      <c r="G4" s="199">
        <v>10</v>
      </c>
      <c r="H4" s="199">
        <v>6</v>
      </c>
      <c r="I4" s="199">
        <v>10</v>
      </c>
      <c r="J4" s="199">
        <v>25</v>
      </c>
      <c r="K4" s="199">
        <v>2</v>
      </c>
      <c r="L4" s="199">
        <v>10</v>
      </c>
      <c r="M4" s="199">
        <v>4</v>
      </c>
      <c r="N4" s="199">
        <v>19</v>
      </c>
      <c r="O4" s="199">
        <v>14</v>
      </c>
      <c r="P4" s="199">
        <v>15</v>
      </c>
      <c r="Q4" s="199">
        <v>4</v>
      </c>
      <c r="R4" s="199">
        <v>14</v>
      </c>
      <c r="S4" s="199">
        <v>33</v>
      </c>
      <c r="T4" s="199">
        <v>12</v>
      </c>
      <c r="U4" s="199">
        <v>5</v>
      </c>
      <c r="V4" s="199">
        <v>17</v>
      </c>
      <c r="W4" s="199">
        <v>14</v>
      </c>
      <c r="X4" s="199">
        <v>103</v>
      </c>
      <c r="Y4" s="199">
        <v>6</v>
      </c>
      <c r="Z4" s="199">
        <v>15</v>
      </c>
      <c r="AA4" s="199">
        <v>0</v>
      </c>
      <c r="AB4" s="199">
        <v>9</v>
      </c>
      <c r="AC4" s="199">
        <v>27</v>
      </c>
      <c r="AD4" s="199">
        <v>5</v>
      </c>
      <c r="AE4" s="199">
        <v>13</v>
      </c>
      <c r="AF4" s="199">
        <v>6</v>
      </c>
      <c r="AG4" s="199">
        <v>12</v>
      </c>
      <c r="AH4" s="199">
        <v>25</v>
      </c>
      <c r="AI4" s="199">
        <v>2</v>
      </c>
      <c r="AJ4" s="199">
        <v>7</v>
      </c>
      <c r="AK4" s="199">
        <v>30</v>
      </c>
      <c r="AL4" s="199">
        <v>2</v>
      </c>
      <c r="AM4" s="199">
        <v>3</v>
      </c>
      <c r="AN4" s="199">
        <v>2</v>
      </c>
      <c r="AO4" s="199">
        <v>49</v>
      </c>
      <c r="AP4" s="199">
        <v>1</v>
      </c>
      <c r="AQ4" s="199">
        <v>6</v>
      </c>
      <c r="AR4" s="199">
        <v>11</v>
      </c>
      <c r="AT4" s="56">
        <f>SUM(D4)</f>
        <v>0</v>
      </c>
      <c r="AU4" s="56">
        <f>+SUM(F4:O4)</f>
        <v>325</v>
      </c>
      <c r="AV4" s="56">
        <f>+SUM(P4:R4)</f>
        <v>33</v>
      </c>
      <c r="AW4" s="56">
        <f t="shared" ref="AW4:AW27" si="0">+SUM(S4:V4)</f>
        <v>67</v>
      </c>
      <c r="AX4" s="56">
        <f t="shared" ref="AX4:AX27" si="1">+SUM(W4:AB4)</f>
        <v>147</v>
      </c>
      <c r="AY4" s="56">
        <f t="shared" ref="AY4:AY27" si="2">+SUM(AC4:AG4)</f>
        <v>63</v>
      </c>
      <c r="AZ4" s="56">
        <f t="shared" ref="AZ4:AZ27" si="3">+SUM(AH4:AJ4)</f>
        <v>34</v>
      </c>
      <c r="BA4" s="57">
        <f t="shared" ref="BA4:BA27" si="4">+SUM(AK4:AN4)</f>
        <v>37</v>
      </c>
      <c r="BB4" s="56">
        <f t="shared" ref="BB4:BB27" si="5">+SUM(AO4:AR4)</f>
        <v>67</v>
      </c>
      <c r="BC4" s="74">
        <f t="shared" ref="BC4:BC27" si="6">SUM(AT4:BB4)</f>
        <v>773</v>
      </c>
    </row>
    <row r="5" spans="1:68" x14ac:dyDescent="0.25">
      <c r="A5" s="198">
        <f>+METAS!A92</f>
        <v>89</v>
      </c>
      <c r="B5" s="201" t="str">
        <f>+METAS!B92</f>
        <v>% DE RECIEN NACIDOS CON BAJO PESO AL NACER</v>
      </c>
      <c r="C5" s="200" t="str">
        <f>+METAS!C92</f>
        <v>NIÑO</v>
      </c>
      <c r="D5" s="199">
        <v>22</v>
      </c>
      <c r="E5" s="199">
        <v>0</v>
      </c>
      <c r="F5" s="199">
        <v>17</v>
      </c>
      <c r="G5" s="199">
        <v>0</v>
      </c>
      <c r="H5" s="199">
        <v>0</v>
      </c>
      <c r="I5" s="199">
        <v>0</v>
      </c>
      <c r="J5" s="199">
        <v>0</v>
      </c>
      <c r="K5" s="199">
        <v>1</v>
      </c>
      <c r="L5" s="199">
        <v>0</v>
      </c>
      <c r="M5" s="199">
        <v>0</v>
      </c>
      <c r="N5" s="199">
        <v>2</v>
      </c>
      <c r="O5" s="199">
        <v>0</v>
      </c>
      <c r="P5" s="199">
        <v>0</v>
      </c>
      <c r="Q5" s="199">
        <v>0</v>
      </c>
      <c r="R5" s="199">
        <v>0</v>
      </c>
      <c r="S5" s="199">
        <v>0</v>
      </c>
      <c r="T5" s="199">
        <v>0</v>
      </c>
      <c r="U5" s="199">
        <v>0</v>
      </c>
      <c r="V5" s="199">
        <v>0</v>
      </c>
      <c r="W5" s="199">
        <v>3</v>
      </c>
      <c r="X5" s="199">
        <v>4</v>
      </c>
      <c r="Y5" s="199">
        <v>0</v>
      </c>
      <c r="Z5" s="199">
        <v>0</v>
      </c>
      <c r="AA5" s="199">
        <v>0</v>
      </c>
      <c r="AB5" s="199">
        <v>0</v>
      </c>
      <c r="AC5" s="199">
        <v>0</v>
      </c>
      <c r="AD5" s="199">
        <v>0</v>
      </c>
      <c r="AE5" s="199">
        <v>0</v>
      </c>
      <c r="AF5" s="199">
        <v>0</v>
      </c>
      <c r="AG5" s="199">
        <v>0</v>
      </c>
      <c r="AH5" s="199">
        <v>6</v>
      </c>
      <c r="AI5" s="199">
        <v>2</v>
      </c>
      <c r="AJ5" s="199">
        <v>0</v>
      </c>
      <c r="AK5" s="199">
        <v>0</v>
      </c>
      <c r="AL5" s="199">
        <v>0</v>
      </c>
      <c r="AM5" s="199">
        <v>1</v>
      </c>
      <c r="AN5" s="199">
        <v>0</v>
      </c>
      <c r="AO5" s="199">
        <v>0</v>
      </c>
      <c r="AP5" s="199">
        <v>0</v>
      </c>
      <c r="AQ5" s="199">
        <v>0</v>
      </c>
      <c r="AR5" s="199">
        <v>0</v>
      </c>
      <c r="AT5" s="56">
        <f t="shared" ref="AT5:AT8" si="7">SUM(D5)</f>
        <v>22</v>
      </c>
      <c r="AU5" s="56">
        <f t="shared" ref="AU5:AU27" si="8">+SUM(F5:O5)</f>
        <v>20</v>
      </c>
      <c r="AV5" s="56">
        <f t="shared" ref="AV5:AV8" si="9">+SUM(P5:R5)</f>
        <v>0</v>
      </c>
      <c r="AW5" s="56">
        <f t="shared" si="0"/>
        <v>0</v>
      </c>
      <c r="AX5" s="56">
        <f t="shared" si="1"/>
        <v>7</v>
      </c>
      <c r="AY5" s="56">
        <f t="shared" si="2"/>
        <v>0</v>
      </c>
      <c r="AZ5" s="56">
        <f t="shared" si="3"/>
        <v>8</v>
      </c>
      <c r="BA5" s="57">
        <f t="shared" si="4"/>
        <v>1</v>
      </c>
      <c r="BB5" s="56">
        <f t="shared" si="5"/>
        <v>0</v>
      </c>
      <c r="BC5" s="74">
        <f t="shared" si="6"/>
        <v>58</v>
      </c>
    </row>
    <row r="6" spans="1:68" x14ac:dyDescent="0.25">
      <c r="A6" s="198">
        <f>+METAS!A93</f>
        <v>90</v>
      </c>
      <c r="B6" s="198" t="str">
        <f>+METAS!B93</f>
        <v>% DE RECIEN NACIDOS CON PREMATURIDAD</v>
      </c>
      <c r="C6" s="197" t="str">
        <f>+METAS!C93</f>
        <v>NIÑO</v>
      </c>
      <c r="D6" s="199">
        <v>43</v>
      </c>
      <c r="E6" s="199">
        <v>0</v>
      </c>
      <c r="F6" s="199">
        <v>11</v>
      </c>
      <c r="G6" s="199">
        <v>0</v>
      </c>
      <c r="H6" s="199">
        <v>0</v>
      </c>
      <c r="I6" s="199">
        <v>1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  <c r="Q6" s="199">
        <v>0</v>
      </c>
      <c r="R6" s="199">
        <v>0</v>
      </c>
      <c r="S6" s="199">
        <v>0</v>
      </c>
      <c r="T6" s="199">
        <v>0</v>
      </c>
      <c r="U6" s="199">
        <v>0</v>
      </c>
      <c r="V6" s="199">
        <v>0</v>
      </c>
      <c r="W6" s="199">
        <v>4</v>
      </c>
      <c r="X6" s="199">
        <v>5</v>
      </c>
      <c r="Y6" s="199">
        <v>0</v>
      </c>
      <c r="Z6" s="199">
        <v>0</v>
      </c>
      <c r="AA6" s="199">
        <v>1</v>
      </c>
      <c r="AB6" s="199">
        <v>0</v>
      </c>
      <c r="AC6" s="199">
        <v>7</v>
      </c>
      <c r="AD6" s="199">
        <v>0</v>
      </c>
      <c r="AE6" s="199">
        <v>2</v>
      </c>
      <c r="AF6" s="199">
        <v>0</v>
      </c>
      <c r="AG6" s="199">
        <v>1</v>
      </c>
      <c r="AH6" s="199">
        <v>4</v>
      </c>
      <c r="AI6" s="199">
        <v>2</v>
      </c>
      <c r="AJ6" s="199">
        <v>0</v>
      </c>
      <c r="AK6" s="199">
        <v>1</v>
      </c>
      <c r="AL6" s="199">
        <v>0</v>
      </c>
      <c r="AM6" s="199">
        <v>0</v>
      </c>
      <c r="AN6" s="199">
        <v>0</v>
      </c>
      <c r="AO6" s="199">
        <v>2</v>
      </c>
      <c r="AP6" s="199">
        <v>0</v>
      </c>
      <c r="AQ6" s="199">
        <v>0</v>
      </c>
      <c r="AR6" s="199">
        <v>0</v>
      </c>
      <c r="AT6" s="56">
        <f t="shared" si="7"/>
        <v>43</v>
      </c>
      <c r="AU6" s="56">
        <f t="shared" si="8"/>
        <v>12</v>
      </c>
      <c r="AV6" s="56">
        <f t="shared" si="9"/>
        <v>0</v>
      </c>
      <c r="AW6" s="56">
        <f t="shared" si="0"/>
        <v>0</v>
      </c>
      <c r="AX6" s="56">
        <f t="shared" si="1"/>
        <v>10</v>
      </c>
      <c r="AY6" s="56">
        <f t="shared" si="2"/>
        <v>10</v>
      </c>
      <c r="AZ6" s="56">
        <f t="shared" si="3"/>
        <v>6</v>
      </c>
      <c r="BA6" s="57">
        <f t="shared" si="4"/>
        <v>1</v>
      </c>
      <c r="BB6" s="56">
        <f t="shared" si="5"/>
        <v>2</v>
      </c>
      <c r="BC6" s="74">
        <f t="shared" si="6"/>
        <v>84</v>
      </c>
    </row>
    <row r="7" spans="1:68" x14ac:dyDescent="0.25">
      <c r="A7" s="198">
        <f>+METAS!A94</f>
        <v>91</v>
      </c>
      <c r="B7" s="201" t="str">
        <f>+METAS!B94</f>
        <v>NIÑO  &lt; 1 AÑO CON CRED    COMPLETO PARA SU EDAD</v>
      </c>
      <c r="C7" s="200" t="str">
        <f>+METAS!C94</f>
        <v>NIÑO</v>
      </c>
      <c r="D7" s="199">
        <v>0</v>
      </c>
      <c r="E7" s="199">
        <v>0</v>
      </c>
      <c r="F7" s="199">
        <v>57</v>
      </c>
      <c r="G7" s="199">
        <v>6</v>
      </c>
      <c r="H7" s="199">
        <v>2</v>
      </c>
      <c r="I7" s="199">
        <v>1</v>
      </c>
      <c r="J7" s="199">
        <v>10</v>
      </c>
      <c r="K7" s="199">
        <v>1</v>
      </c>
      <c r="L7" s="199">
        <v>3</v>
      </c>
      <c r="M7" s="199">
        <v>4</v>
      </c>
      <c r="N7" s="199">
        <v>6</v>
      </c>
      <c r="O7" s="199">
        <v>0</v>
      </c>
      <c r="P7" s="199">
        <v>9</v>
      </c>
      <c r="Q7" s="199">
        <v>4</v>
      </c>
      <c r="R7" s="199">
        <v>3</v>
      </c>
      <c r="S7" s="199">
        <v>22</v>
      </c>
      <c r="T7" s="199">
        <v>6</v>
      </c>
      <c r="U7" s="199">
        <v>0</v>
      </c>
      <c r="V7" s="199">
        <v>15</v>
      </c>
      <c r="W7" s="199">
        <v>10</v>
      </c>
      <c r="X7" s="199">
        <v>22</v>
      </c>
      <c r="Y7" s="199">
        <v>2</v>
      </c>
      <c r="Z7" s="199">
        <v>3</v>
      </c>
      <c r="AA7" s="199">
        <v>3</v>
      </c>
      <c r="AB7" s="199">
        <v>1</v>
      </c>
      <c r="AC7" s="199">
        <v>6</v>
      </c>
      <c r="AD7" s="199">
        <v>7</v>
      </c>
      <c r="AE7" s="199">
        <v>4</v>
      </c>
      <c r="AF7" s="199">
        <v>4</v>
      </c>
      <c r="AG7" s="199">
        <v>6</v>
      </c>
      <c r="AH7" s="199">
        <v>5</v>
      </c>
      <c r="AI7" s="199">
        <v>0</v>
      </c>
      <c r="AJ7" s="199">
        <v>4</v>
      </c>
      <c r="AK7" s="199">
        <v>17</v>
      </c>
      <c r="AL7" s="199">
        <v>3</v>
      </c>
      <c r="AM7" s="199">
        <v>4</v>
      </c>
      <c r="AN7" s="199">
        <v>3</v>
      </c>
      <c r="AO7" s="199">
        <v>14</v>
      </c>
      <c r="AP7" s="199">
        <v>0</v>
      </c>
      <c r="AQ7" s="199">
        <v>3</v>
      </c>
      <c r="AR7" s="199">
        <v>4</v>
      </c>
      <c r="AT7" s="56">
        <f t="shared" si="7"/>
        <v>0</v>
      </c>
      <c r="AU7" s="56">
        <f t="shared" si="8"/>
        <v>90</v>
      </c>
      <c r="AV7" s="56">
        <f t="shared" si="9"/>
        <v>16</v>
      </c>
      <c r="AW7" s="56">
        <f t="shared" si="0"/>
        <v>43</v>
      </c>
      <c r="AX7" s="56">
        <f t="shared" si="1"/>
        <v>41</v>
      </c>
      <c r="AY7" s="56">
        <f t="shared" si="2"/>
        <v>27</v>
      </c>
      <c r="AZ7" s="56">
        <f t="shared" si="3"/>
        <v>9</v>
      </c>
      <c r="BA7" s="57">
        <f t="shared" si="4"/>
        <v>27</v>
      </c>
      <c r="BB7" s="56">
        <f t="shared" si="5"/>
        <v>21</v>
      </c>
      <c r="BC7" s="74">
        <f t="shared" si="6"/>
        <v>274</v>
      </c>
    </row>
    <row r="8" spans="1:68" x14ac:dyDescent="0.25">
      <c r="A8" s="198">
        <f>+METAS!A95</f>
        <v>92</v>
      </c>
      <c r="B8" s="198" t="str">
        <f>+METAS!B95</f>
        <v>NIÑOS MENORES DE 36 MESES CON CONTROLES CRED COMPLETO  PARA SU EDAD</v>
      </c>
      <c r="C8" s="197" t="str">
        <f>+METAS!C95</f>
        <v>NIÑO</v>
      </c>
      <c r="D8" s="199">
        <v>0</v>
      </c>
      <c r="E8" s="199">
        <v>0</v>
      </c>
      <c r="F8" s="199">
        <v>0</v>
      </c>
      <c r="G8" s="199">
        <v>0</v>
      </c>
      <c r="H8" s="199">
        <v>0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v>0</v>
      </c>
      <c r="X8" s="199">
        <v>0</v>
      </c>
      <c r="Y8" s="199">
        <v>0</v>
      </c>
      <c r="Z8" s="199">
        <v>0</v>
      </c>
      <c r="AA8" s="199">
        <v>0</v>
      </c>
      <c r="AB8" s="199">
        <v>0</v>
      </c>
      <c r="AC8" s="199">
        <v>0</v>
      </c>
      <c r="AD8" s="199">
        <v>0</v>
      </c>
      <c r="AE8" s="199">
        <v>0</v>
      </c>
      <c r="AF8" s="199">
        <v>0</v>
      </c>
      <c r="AG8" s="199">
        <v>0</v>
      </c>
      <c r="AH8" s="199">
        <v>0</v>
      </c>
      <c r="AI8" s="199">
        <v>0</v>
      </c>
      <c r="AJ8" s="199">
        <v>0</v>
      </c>
      <c r="AK8" s="199">
        <v>0</v>
      </c>
      <c r="AL8" s="199">
        <v>0</v>
      </c>
      <c r="AM8" s="199">
        <v>0</v>
      </c>
      <c r="AN8" s="199">
        <v>0</v>
      </c>
      <c r="AO8" s="199">
        <v>0</v>
      </c>
      <c r="AP8" s="199">
        <v>0</v>
      </c>
      <c r="AQ8" s="199">
        <v>0</v>
      </c>
      <c r="AR8" s="199">
        <v>0</v>
      </c>
      <c r="AT8" s="56">
        <f t="shared" si="7"/>
        <v>0</v>
      </c>
      <c r="AU8" s="56">
        <f t="shared" si="8"/>
        <v>0</v>
      </c>
      <c r="AV8" s="56">
        <f t="shared" si="9"/>
        <v>0</v>
      </c>
      <c r="AW8" s="56">
        <f t="shared" si="0"/>
        <v>0</v>
      </c>
      <c r="AX8" s="56">
        <f t="shared" si="1"/>
        <v>0</v>
      </c>
      <c r="AY8" s="56">
        <f t="shared" si="2"/>
        <v>0</v>
      </c>
      <c r="AZ8" s="56">
        <f t="shared" si="3"/>
        <v>0</v>
      </c>
      <c r="BA8" s="57">
        <f t="shared" si="4"/>
        <v>0</v>
      </c>
      <c r="BB8" s="56">
        <f t="shared" si="5"/>
        <v>0</v>
      </c>
      <c r="BC8" s="74">
        <f t="shared" si="6"/>
        <v>0</v>
      </c>
    </row>
    <row r="9" spans="1:68" ht="30" x14ac:dyDescent="0.25">
      <c r="A9" s="198">
        <f>+METAS!A96</f>
        <v>93</v>
      </c>
      <c r="B9" s="201" t="str">
        <f>+METAS!B96</f>
        <v>PORCENTAJE DE NIÑAS Y NIÑOS RECIEN NACIDOS DE PARTO INSTITUCIONALQUE RECIBEN VACUNAS COMPLETAS ANTES DEL ALTA</v>
      </c>
      <c r="C9" s="200" t="str">
        <f>+METAS!C96</f>
        <v>NIÑO</v>
      </c>
      <c r="D9" s="199">
        <v>859</v>
      </c>
      <c r="E9" s="199">
        <v>0</v>
      </c>
      <c r="F9" s="199">
        <v>0</v>
      </c>
      <c r="G9" s="199">
        <v>0</v>
      </c>
      <c r="H9" s="199">
        <v>2</v>
      </c>
      <c r="I9" s="199">
        <v>1</v>
      </c>
      <c r="J9" s="199">
        <v>0</v>
      </c>
      <c r="K9" s="199">
        <v>1</v>
      </c>
      <c r="L9" s="199">
        <v>0</v>
      </c>
      <c r="M9" s="199">
        <v>0</v>
      </c>
      <c r="N9" s="199">
        <v>2</v>
      </c>
      <c r="O9" s="199">
        <v>0</v>
      </c>
      <c r="P9" s="199">
        <v>35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1</v>
      </c>
      <c r="W9" s="199">
        <v>0</v>
      </c>
      <c r="X9" s="199">
        <v>114</v>
      </c>
      <c r="Y9" s="199">
        <v>0</v>
      </c>
      <c r="Z9" s="199">
        <v>0</v>
      </c>
      <c r="AA9" s="199">
        <v>0</v>
      </c>
      <c r="AB9" s="199">
        <v>0</v>
      </c>
      <c r="AC9" s="199">
        <v>16</v>
      </c>
      <c r="AD9" s="199">
        <v>0</v>
      </c>
      <c r="AE9" s="199">
        <v>0</v>
      </c>
      <c r="AF9" s="199">
        <v>0</v>
      </c>
      <c r="AG9" s="199">
        <v>0</v>
      </c>
      <c r="AH9" s="199">
        <v>51</v>
      </c>
      <c r="AI9" s="199">
        <v>0</v>
      </c>
      <c r="AJ9" s="199">
        <v>0</v>
      </c>
      <c r="AK9" s="199">
        <v>1</v>
      </c>
      <c r="AL9" s="199">
        <v>0</v>
      </c>
      <c r="AM9" s="199">
        <v>0</v>
      </c>
      <c r="AN9" s="199">
        <v>0</v>
      </c>
      <c r="AO9" s="199">
        <v>14</v>
      </c>
      <c r="AP9" s="199">
        <v>0</v>
      </c>
      <c r="AQ9" s="199">
        <v>0</v>
      </c>
      <c r="AR9" s="199">
        <v>0</v>
      </c>
      <c r="AT9" s="56">
        <f t="shared" ref="AT9:AT27" si="10">SUM(D9)</f>
        <v>859</v>
      </c>
      <c r="AU9" s="56">
        <f t="shared" si="8"/>
        <v>6</v>
      </c>
      <c r="AV9" s="56">
        <f t="shared" ref="AV9:AV27" si="11">+SUM(P9:R9)</f>
        <v>35</v>
      </c>
      <c r="AW9" s="56">
        <f t="shared" si="0"/>
        <v>1</v>
      </c>
      <c r="AX9" s="56">
        <f t="shared" si="1"/>
        <v>114</v>
      </c>
      <c r="AY9" s="56">
        <f t="shared" si="2"/>
        <v>16</v>
      </c>
      <c r="AZ9" s="56">
        <f t="shared" si="3"/>
        <v>51</v>
      </c>
      <c r="BA9" s="57">
        <f t="shared" si="4"/>
        <v>1</v>
      </c>
      <c r="BB9" s="56">
        <f t="shared" si="5"/>
        <v>14</v>
      </c>
      <c r="BC9" s="74">
        <f t="shared" si="6"/>
        <v>1097</v>
      </c>
    </row>
    <row r="10" spans="1:68" x14ac:dyDescent="0.25">
      <c r="A10" s="198">
        <f>+METAS!A97</f>
        <v>94</v>
      </c>
      <c r="B10" s="198" t="str">
        <f>+METAS!B97</f>
        <v>NIÑO &lt;1 AÑO CON 2 ROTAVIRUS Y 2 NEUMOCOCO</v>
      </c>
      <c r="C10" s="197" t="str">
        <f>+METAS!C97</f>
        <v>NIÑO</v>
      </c>
      <c r="D10" s="199">
        <v>0</v>
      </c>
      <c r="E10" s="199">
        <v>0</v>
      </c>
      <c r="F10" s="199">
        <v>218</v>
      </c>
      <c r="G10" s="199">
        <v>13</v>
      </c>
      <c r="H10" s="199">
        <v>7</v>
      </c>
      <c r="I10" s="199">
        <v>10</v>
      </c>
      <c r="J10" s="199">
        <v>20</v>
      </c>
      <c r="K10" s="199">
        <v>0</v>
      </c>
      <c r="L10" s="199">
        <v>4</v>
      </c>
      <c r="M10" s="199">
        <v>8</v>
      </c>
      <c r="N10" s="199">
        <v>13</v>
      </c>
      <c r="O10" s="199">
        <v>8</v>
      </c>
      <c r="P10" s="199">
        <v>22</v>
      </c>
      <c r="Q10" s="199">
        <v>8</v>
      </c>
      <c r="R10" s="199">
        <v>22</v>
      </c>
      <c r="S10" s="199">
        <v>25</v>
      </c>
      <c r="T10" s="199">
        <v>8</v>
      </c>
      <c r="U10" s="199">
        <v>10</v>
      </c>
      <c r="V10" s="199">
        <v>15</v>
      </c>
      <c r="W10" s="199">
        <v>20</v>
      </c>
      <c r="X10" s="199">
        <v>113</v>
      </c>
      <c r="Y10" s="199">
        <v>0</v>
      </c>
      <c r="Z10" s="199">
        <v>8</v>
      </c>
      <c r="AA10" s="199">
        <v>6</v>
      </c>
      <c r="AB10" s="199">
        <v>12</v>
      </c>
      <c r="AC10" s="199">
        <v>33</v>
      </c>
      <c r="AD10" s="199">
        <v>3</v>
      </c>
      <c r="AE10" s="199">
        <v>11</v>
      </c>
      <c r="AF10" s="199">
        <v>8</v>
      </c>
      <c r="AG10" s="199">
        <v>7</v>
      </c>
      <c r="AH10" s="199">
        <v>29</v>
      </c>
      <c r="AI10" s="199">
        <v>6</v>
      </c>
      <c r="AJ10" s="199">
        <v>5</v>
      </c>
      <c r="AK10" s="199">
        <v>14</v>
      </c>
      <c r="AL10" s="199">
        <v>1</v>
      </c>
      <c r="AM10" s="199">
        <v>5</v>
      </c>
      <c r="AN10" s="199">
        <v>3</v>
      </c>
      <c r="AO10" s="199">
        <v>25</v>
      </c>
      <c r="AP10" s="199">
        <v>0</v>
      </c>
      <c r="AQ10" s="199">
        <v>2</v>
      </c>
      <c r="AR10" s="199">
        <v>11</v>
      </c>
      <c r="AT10" s="56">
        <f t="shared" si="10"/>
        <v>0</v>
      </c>
      <c r="AU10" s="56">
        <f t="shared" si="8"/>
        <v>301</v>
      </c>
      <c r="AV10" s="56">
        <f t="shared" si="11"/>
        <v>52</v>
      </c>
      <c r="AW10" s="56">
        <f t="shared" si="0"/>
        <v>58</v>
      </c>
      <c r="AX10" s="56">
        <f t="shared" si="1"/>
        <v>159</v>
      </c>
      <c r="AY10" s="56">
        <f t="shared" si="2"/>
        <v>62</v>
      </c>
      <c r="AZ10" s="56">
        <f t="shared" si="3"/>
        <v>40</v>
      </c>
      <c r="BA10" s="57">
        <f t="shared" si="4"/>
        <v>23</v>
      </c>
      <c r="BB10" s="56">
        <f t="shared" si="5"/>
        <v>38</v>
      </c>
      <c r="BC10" s="74">
        <f t="shared" si="6"/>
        <v>733</v>
      </c>
    </row>
    <row r="11" spans="1:68" x14ac:dyDescent="0.25">
      <c r="A11" s="198">
        <f>+METAS!A98</f>
        <v>95</v>
      </c>
      <c r="B11" s="201" t="str">
        <f>+METAS!B98</f>
        <v>NIÑO &lt;1 AÑO CON 3 PENTAVALENTE Y 3 ANTIPOLIO</v>
      </c>
      <c r="C11" s="200" t="str">
        <f>+METAS!C98</f>
        <v>NIÑO</v>
      </c>
      <c r="D11" s="199">
        <v>0</v>
      </c>
      <c r="E11" s="199">
        <v>0</v>
      </c>
      <c r="F11" s="199">
        <v>279</v>
      </c>
      <c r="G11" s="199">
        <v>13</v>
      </c>
      <c r="H11" s="199">
        <v>8</v>
      </c>
      <c r="I11" s="199">
        <v>10</v>
      </c>
      <c r="J11" s="199">
        <v>24</v>
      </c>
      <c r="K11" s="199">
        <v>0</v>
      </c>
      <c r="L11" s="199">
        <v>10</v>
      </c>
      <c r="M11" s="199">
        <v>6</v>
      </c>
      <c r="N11" s="199">
        <v>11</v>
      </c>
      <c r="O11" s="199">
        <v>13</v>
      </c>
      <c r="P11" s="199">
        <v>18</v>
      </c>
      <c r="Q11" s="199">
        <v>7</v>
      </c>
      <c r="R11" s="199">
        <v>18</v>
      </c>
      <c r="S11" s="199">
        <v>25</v>
      </c>
      <c r="T11" s="199">
        <v>6</v>
      </c>
      <c r="U11" s="199">
        <v>6</v>
      </c>
      <c r="V11" s="199">
        <v>24</v>
      </c>
      <c r="W11" s="199">
        <v>23</v>
      </c>
      <c r="X11" s="199">
        <v>123</v>
      </c>
      <c r="Y11" s="199">
        <v>3</v>
      </c>
      <c r="Z11" s="199">
        <v>12</v>
      </c>
      <c r="AA11" s="199">
        <v>8</v>
      </c>
      <c r="AB11" s="199">
        <v>15</v>
      </c>
      <c r="AC11" s="199">
        <v>35</v>
      </c>
      <c r="AD11" s="199">
        <v>7</v>
      </c>
      <c r="AE11" s="199">
        <v>9</v>
      </c>
      <c r="AF11" s="199">
        <v>8</v>
      </c>
      <c r="AG11" s="199">
        <v>10</v>
      </c>
      <c r="AH11" s="199">
        <v>45</v>
      </c>
      <c r="AI11" s="199">
        <v>5</v>
      </c>
      <c r="AJ11" s="199">
        <v>5</v>
      </c>
      <c r="AK11" s="199">
        <v>35</v>
      </c>
      <c r="AL11" s="199">
        <v>4</v>
      </c>
      <c r="AM11" s="199">
        <v>8</v>
      </c>
      <c r="AN11" s="199">
        <v>1</v>
      </c>
      <c r="AO11" s="199">
        <v>23</v>
      </c>
      <c r="AP11" s="199">
        <v>1</v>
      </c>
      <c r="AQ11" s="199">
        <v>2</v>
      </c>
      <c r="AR11" s="199">
        <v>11</v>
      </c>
      <c r="AT11" s="56">
        <f t="shared" si="10"/>
        <v>0</v>
      </c>
      <c r="AU11" s="56">
        <f t="shared" si="8"/>
        <v>374</v>
      </c>
      <c r="AV11" s="56">
        <f t="shared" si="11"/>
        <v>43</v>
      </c>
      <c r="AW11" s="56">
        <f t="shared" si="0"/>
        <v>61</v>
      </c>
      <c r="AX11" s="56">
        <f t="shared" si="1"/>
        <v>184</v>
      </c>
      <c r="AY11" s="56">
        <f t="shared" si="2"/>
        <v>69</v>
      </c>
      <c r="AZ11" s="56">
        <f t="shared" si="3"/>
        <v>55</v>
      </c>
      <c r="BA11" s="57">
        <f t="shared" si="4"/>
        <v>48</v>
      </c>
      <c r="BB11" s="56">
        <f t="shared" si="5"/>
        <v>37</v>
      </c>
      <c r="BC11" s="74">
        <f t="shared" si="6"/>
        <v>871</v>
      </c>
    </row>
    <row r="12" spans="1:68" x14ac:dyDescent="0.25">
      <c r="A12" s="198">
        <f>+METAS!A99</f>
        <v>96</v>
      </c>
      <c r="B12" s="198" t="str">
        <f>+METAS!B99</f>
        <v>NIÑO 1 AÑO CON 3 NEUMOCOCO Y 1 SPR</v>
      </c>
      <c r="C12" s="197" t="str">
        <f>+METAS!C99</f>
        <v>NIÑO</v>
      </c>
      <c r="D12" s="199">
        <v>0</v>
      </c>
      <c r="E12" s="199">
        <v>0</v>
      </c>
      <c r="F12" s="199">
        <v>245</v>
      </c>
      <c r="G12" s="199">
        <v>8</v>
      </c>
      <c r="H12" s="199">
        <v>11</v>
      </c>
      <c r="I12" s="199">
        <v>7</v>
      </c>
      <c r="J12" s="199">
        <v>20</v>
      </c>
      <c r="K12" s="199">
        <v>1</v>
      </c>
      <c r="L12" s="199">
        <v>13</v>
      </c>
      <c r="M12" s="199">
        <v>8</v>
      </c>
      <c r="N12" s="199">
        <v>15</v>
      </c>
      <c r="O12" s="199">
        <v>13</v>
      </c>
      <c r="P12" s="199">
        <v>18</v>
      </c>
      <c r="Q12" s="199">
        <v>3</v>
      </c>
      <c r="R12" s="199">
        <v>4</v>
      </c>
      <c r="S12" s="199">
        <v>28</v>
      </c>
      <c r="T12" s="199">
        <v>7</v>
      </c>
      <c r="U12" s="199">
        <v>6</v>
      </c>
      <c r="V12" s="199">
        <v>19</v>
      </c>
      <c r="W12" s="199">
        <v>24</v>
      </c>
      <c r="X12" s="199">
        <v>109</v>
      </c>
      <c r="Y12" s="199">
        <v>8</v>
      </c>
      <c r="Z12" s="199">
        <v>8</v>
      </c>
      <c r="AA12" s="199">
        <v>8</v>
      </c>
      <c r="AB12" s="199">
        <v>7</v>
      </c>
      <c r="AC12" s="199">
        <v>25</v>
      </c>
      <c r="AD12" s="199">
        <v>15</v>
      </c>
      <c r="AE12" s="199">
        <v>13</v>
      </c>
      <c r="AF12" s="199">
        <v>11</v>
      </c>
      <c r="AG12" s="199">
        <v>13</v>
      </c>
      <c r="AH12" s="199">
        <v>34</v>
      </c>
      <c r="AI12" s="199">
        <v>3</v>
      </c>
      <c r="AJ12" s="199">
        <v>1</v>
      </c>
      <c r="AK12" s="199">
        <v>23</v>
      </c>
      <c r="AL12" s="199">
        <v>4</v>
      </c>
      <c r="AM12" s="199">
        <v>9</v>
      </c>
      <c r="AN12" s="199">
        <v>6</v>
      </c>
      <c r="AO12" s="199">
        <v>20</v>
      </c>
      <c r="AP12" s="199">
        <v>0</v>
      </c>
      <c r="AQ12" s="199">
        <v>3</v>
      </c>
      <c r="AR12" s="199">
        <v>8</v>
      </c>
      <c r="AT12" s="56">
        <f t="shared" si="10"/>
        <v>0</v>
      </c>
      <c r="AU12" s="56">
        <f t="shared" si="8"/>
        <v>341</v>
      </c>
      <c r="AV12" s="56">
        <f t="shared" si="11"/>
        <v>25</v>
      </c>
      <c r="AW12" s="56">
        <f t="shared" si="0"/>
        <v>60</v>
      </c>
      <c r="AX12" s="56">
        <f t="shared" si="1"/>
        <v>164</v>
      </c>
      <c r="AY12" s="56">
        <f t="shared" si="2"/>
        <v>77</v>
      </c>
      <c r="AZ12" s="56">
        <f t="shared" si="3"/>
        <v>38</v>
      </c>
      <c r="BA12" s="57">
        <f t="shared" si="4"/>
        <v>42</v>
      </c>
      <c r="BB12" s="56">
        <f t="shared" si="5"/>
        <v>31</v>
      </c>
      <c r="BC12" s="74">
        <f t="shared" si="6"/>
        <v>778</v>
      </c>
    </row>
    <row r="13" spans="1:68" x14ac:dyDescent="0.25">
      <c r="A13" s="198">
        <f>+METAS!A100</f>
        <v>97</v>
      </c>
      <c r="B13" s="201" t="str">
        <f>+METAS!B100</f>
        <v>NIÑO &gt; 1 AÑO CON 2°SPR,1°REF DPT Y 1°REF APO</v>
      </c>
      <c r="C13" s="200" t="str">
        <f>+METAS!C100</f>
        <v>NIÑO</v>
      </c>
      <c r="D13" s="199">
        <v>0</v>
      </c>
      <c r="E13" s="199">
        <v>0</v>
      </c>
      <c r="F13" s="199">
        <v>95</v>
      </c>
      <c r="G13" s="199">
        <v>5</v>
      </c>
      <c r="H13" s="199">
        <v>0</v>
      </c>
      <c r="I13" s="199">
        <v>4</v>
      </c>
      <c r="J13" s="199">
        <v>8</v>
      </c>
      <c r="K13" s="199">
        <v>0</v>
      </c>
      <c r="L13" s="199">
        <v>1</v>
      </c>
      <c r="M13" s="199">
        <v>1</v>
      </c>
      <c r="N13" s="199">
        <v>2</v>
      </c>
      <c r="O13" s="199">
        <v>10</v>
      </c>
      <c r="P13" s="199">
        <v>10</v>
      </c>
      <c r="Q13" s="199">
        <v>1</v>
      </c>
      <c r="R13" s="199">
        <v>2</v>
      </c>
      <c r="S13" s="199">
        <v>8</v>
      </c>
      <c r="T13" s="199">
        <v>0</v>
      </c>
      <c r="U13" s="199">
        <v>1</v>
      </c>
      <c r="V13" s="199">
        <v>1</v>
      </c>
      <c r="W13" s="199">
        <v>8</v>
      </c>
      <c r="X13" s="199">
        <v>51</v>
      </c>
      <c r="Y13" s="199">
        <v>1</v>
      </c>
      <c r="Z13" s="199">
        <v>4</v>
      </c>
      <c r="AA13" s="199">
        <v>1</v>
      </c>
      <c r="AB13" s="199">
        <v>14</v>
      </c>
      <c r="AC13" s="199">
        <v>7</v>
      </c>
      <c r="AD13" s="199">
        <v>0</v>
      </c>
      <c r="AE13" s="199">
        <v>2</v>
      </c>
      <c r="AF13" s="199">
        <v>7</v>
      </c>
      <c r="AG13" s="199">
        <v>5</v>
      </c>
      <c r="AH13" s="199">
        <v>2</v>
      </c>
      <c r="AI13" s="199">
        <v>1</v>
      </c>
      <c r="AJ13" s="199">
        <v>1</v>
      </c>
      <c r="AK13" s="199">
        <v>9</v>
      </c>
      <c r="AL13" s="199">
        <v>0</v>
      </c>
      <c r="AM13" s="199">
        <v>1</v>
      </c>
      <c r="AN13" s="199">
        <v>2</v>
      </c>
      <c r="AO13" s="199">
        <v>5</v>
      </c>
      <c r="AP13" s="199">
        <v>0</v>
      </c>
      <c r="AQ13" s="199">
        <v>0</v>
      </c>
      <c r="AR13" s="199">
        <v>0</v>
      </c>
      <c r="AT13" s="56">
        <f t="shared" si="10"/>
        <v>0</v>
      </c>
      <c r="AU13" s="56">
        <f t="shared" si="8"/>
        <v>126</v>
      </c>
      <c r="AV13" s="56">
        <f t="shared" si="11"/>
        <v>13</v>
      </c>
      <c r="AW13" s="56">
        <f t="shared" si="0"/>
        <v>10</v>
      </c>
      <c r="AX13" s="56">
        <f t="shared" si="1"/>
        <v>79</v>
      </c>
      <c r="AY13" s="56">
        <f t="shared" si="2"/>
        <v>21</v>
      </c>
      <c r="AZ13" s="56">
        <f t="shared" si="3"/>
        <v>4</v>
      </c>
      <c r="BA13" s="57">
        <f t="shared" si="4"/>
        <v>12</v>
      </c>
      <c r="BB13" s="56">
        <f t="shared" si="5"/>
        <v>5</v>
      </c>
      <c r="BC13" s="74">
        <f t="shared" si="6"/>
        <v>270</v>
      </c>
    </row>
    <row r="14" spans="1:68" x14ac:dyDescent="0.25">
      <c r="A14" s="198">
        <f>+METAS!A101</f>
        <v>98</v>
      </c>
      <c r="B14" s="198" t="str">
        <f>+METAS!B101</f>
        <v xml:space="preserve"> NIÑO DE 4 AÑOS CON 2DO REFUERZO DE DPT Y 2DO REFUERZO DE APO</v>
      </c>
      <c r="C14" s="197" t="str">
        <f>+METAS!C101</f>
        <v>NIÑO</v>
      </c>
      <c r="D14" s="199">
        <v>0</v>
      </c>
      <c r="E14" s="199">
        <v>0</v>
      </c>
      <c r="F14" s="199">
        <v>76</v>
      </c>
      <c r="G14" s="199">
        <v>6</v>
      </c>
      <c r="H14" s="199">
        <v>1</v>
      </c>
      <c r="I14" s="199">
        <v>6</v>
      </c>
      <c r="J14" s="199">
        <v>8</v>
      </c>
      <c r="K14" s="199">
        <v>1</v>
      </c>
      <c r="L14" s="199">
        <v>4</v>
      </c>
      <c r="M14" s="199">
        <v>8</v>
      </c>
      <c r="N14" s="199">
        <v>9</v>
      </c>
      <c r="O14" s="199">
        <v>7</v>
      </c>
      <c r="P14" s="199">
        <v>7</v>
      </c>
      <c r="Q14" s="199">
        <v>7</v>
      </c>
      <c r="R14" s="199">
        <v>2</v>
      </c>
      <c r="S14" s="199">
        <v>15</v>
      </c>
      <c r="T14" s="199">
        <v>2</v>
      </c>
      <c r="U14" s="199">
        <v>5</v>
      </c>
      <c r="V14" s="199">
        <v>4</v>
      </c>
      <c r="W14" s="199">
        <v>6</v>
      </c>
      <c r="X14" s="199">
        <v>49</v>
      </c>
      <c r="Y14" s="199">
        <v>0</v>
      </c>
      <c r="Z14" s="199">
        <v>6</v>
      </c>
      <c r="AA14" s="199">
        <v>0</v>
      </c>
      <c r="AB14" s="199">
        <v>21</v>
      </c>
      <c r="AC14" s="199">
        <v>17</v>
      </c>
      <c r="AD14" s="199">
        <v>3</v>
      </c>
      <c r="AE14" s="199">
        <v>6</v>
      </c>
      <c r="AF14" s="199">
        <v>9</v>
      </c>
      <c r="AG14" s="199">
        <v>7</v>
      </c>
      <c r="AH14" s="199">
        <v>4</v>
      </c>
      <c r="AI14" s="199">
        <v>2</v>
      </c>
      <c r="AJ14" s="199">
        <v>0</v>
      </c>
      <c r="AK14" s="199">
        <v>18</v>
      </c>
      <c r="AL14" s="199">
        <v>3</v>
      </c>
      <c r="AM14" s="199">
        <v>1</v>
      </c>
      <c r="AN14" s="199">
        <v>3</v>
      </c>
      <c r="AO14" s="199">
        <v>2</v>
      </c>
      <c r="AP14" s="199">
        <v>0</v>
      </c>
      <c r="AQ14" s="199">
        <v>0</v>
      </c>
      <c r="AR14" s="199">
        <v>0</v>
      </c>
      <c r="AT14" s="56">
        <f t="shared" si="10"/>
        <v>0</v>
      </c>
      <c r="AU14" s="56">
        <f t="shared" si="8"/>
        <v>126</v>
      </c>
      <c r="AV14" s="56">
        <f t="shared" si="11"/>
        <v>16</v>
      </c>
      <c r="AW14" s="56">
        <f t="shared" si="0"/>
        <v>26</v>
      </c>
      <c r="AX14" s="56">
        <f t="shared" si="1"/>
        <v>82</v>
      </c>
      <c r="AY14" s="56">
        <f t="shared" si="2"/>
        <v>42</v>
      </c>
      <c r="AZ14" s="56">
        <f t="shared" si="3"/>
        <v>6</v>
      </c>
      <c r="BA14" s="57">
        <f t="shared" si="4"/>
        <v>25</v>
      </c>
      <c r="BB14" s="56">
        <f t="shared" si="5"/>
        <v>2</v>
      </c>
      <c r="BC14" s="74">
        <f t="shared" si="6"/>
        <v>325</v>
      </c>
    </row>
    <row r="15" spans="1:68" x14ac:dyDescent="0.25">
      <c r="A15" s="198">
        <f>+METAS!A102</f>
        <v>99</v>
      </c>
      <c r="B15" s="201" t="str">
        <f>+METAS!B102</f>
        <v xml:space="preserve"> PROPORCIÓN DE NIÑOS  MENORES DE 5 AÑOS  DE EDAD CON DCI </v>
      </c>
      <c r="C15" s="200" t="str">
        <f>+METAS!C102</f>
        <v>NUTRICIÓN</v>
      </c>
      <c r="D15" s="199">
        <v>2</v>
      </c>
      <c r="E15" s="199">
        <v>0</v>
      </c>
      <c r="F15" s="199">
        <v>2</v>
      </c>
      <c r="G15" s="199">
        <v>0</v>
      </c>
      <c r="H15" s="199">
        <v>0</v>
      </c>
      <c r="I15" s="199">
        <v>0</v>
      </c>
      <c r="J15" s="199">
        <v>2</v>
      </c>
      <c r="K15" s="199">
        <v>0</v>
      </c>
      <c r="L15" s="199">
        <v>0</v>
      </c>
      <c r="M15" s="199">
        <v>0</v>
      </c>
      <c r="N15" s="199">
        <v>0</v>
      </c>
      <c r="O15" s="199">
        <v>1</v>
      </c>
      <c r="P15" s="199">
        <v>0</v>
      </c>
      <c r="Q15" s="199">
        <v>0</v>
      </c>
      <c r="R15" s="199">
        <v>0</v>
      </c>
      <c r="S15" s="199">
        <v>13</v>
      </c>
      <c r="T15" s="199">
        <v>0</v>
      </c>
      <c r="U15" s="199">
        <v>0</v>
      </c>
      <c r="V15" s="199">
        <v>0</v>
      </c>
      <c r="W15" s="199">
        <v>0</v>
      </c>
      <c r="X15" s="199">
        <v>53</v>
      </c>
      <c r="Y15" s="199">
        <v>0</v>
      </c>
      <c r="Z15" s="199">
        <v>3</v>
      </c>
      <c r="AA15" s="199">
        <v>1</v>
      </c>
      <c r="AB15" s="199">
        <v>0</v>
      </c>
      <c r="AC15" s="199">
        <v>0</v>
      </c>
      <c r="AD15" s="199">
        <v>0</v>
      </c>
      <c r="AE15" s="199">
        <v>0</v>
      </c>
      <c r="AF15" s="199">
        <v>2</v>
      </c>
      <c r="AG15" s="199">
        <v>0</v>
      </c>
      <c r="AH15" s="199">
        <v>0</v>
      </c>
      <c r="AI15" s="199">
        <v>0</v>
      </c>
      <c r="AJ15" s="199">
        <v>0</v>
      </c>
      <c r="AK15" s="199">
        <v>0</v>
      </c>
      <c r="AL15" s="199">
        <v>0</v>
      </c>
      <c r="AM15" s="199">
        <v>0</v>
      </c>
      <c r="AN15" s="199">
        <v>0</v>
      </c>
      <c r="AO15" s="199">
        <v>8</v>
      </c>
      <c r="AP15" s="199">
        <v>1</v>
      </c>
      <c r="AQ15" s="199">
        <v>0</v>
      </c>
      <c r="AR15" s="199">
        <v>0</v>
      </c>
      <c r="AT15" s="56">
        <f t="shared" si="10"/>
        <v>2</v>
      </c>
      <c r="AU15" s="56">
        <f t="shared" si="8"/>
        <v>5</v>
      </c>
      <c r="AV15" s="56">
        <f t="shared" si="11"/>
        <v>0</v>
      </c>
      <c r="AW15" s="56">
        <f t="shared" si="0"/>
        <v>13</v>
      </c>
      <c r="AX15" s="56">
        <f t="shared" si="1"/>
        <v>57</v>
      </c>
      <c r="AY15" s="56">
        <f t="shared" si="2"/>
        <v>2</v>
      </c>
      <c r="AZ15" s="56">
        <f t="shared" si="3"/>
        <v>0</v>
      </c>
      <c r="BA15" s="57">
        <f t="shared" si="4"/>
        <v>0</v>
      </c>
      <c r="BB15" s="56">
        <f t="shared" si="5"/>
        <v>9</v>
      </c>
      <c r="BC15" s="74">
        <f t="shared" si="6"/>
        <v>88</v>
      </c>
    </row>
    <row r="16" spans="1:68" x14ac:dyDescent="0.25">
      <c r="A16" s="198">
        <f>+METAS!A103</f>
        <v>100</v>
      </c>
      <c r="B16" s="198" t="str">
        <f>+METAS!B103</f>
        <v>PROPORCIÓN DE NIÑOS DE 6 A 35 MESES  DE EDAD CON AMENIA</v>
      </c>
      <c r="C16" s="197" t="str">
        <f>+METAS!C103</f>
        <v>NUTRICIÓN</v>
      </c>
      <c r="D16" s="199">
        <v>6</v>
      </c>
      <c r="E16" s="199">
        <v>0</v>
      </c>
      <c r="F16" s="199">
        <v>125</v>
      </c>
      <c r="G16" s="199">
        <v>1</v>
      </c>
      <c r="H16" s="199">
        <v>3</v>
      </c>
      <c r="I16" s="199">
        <v>3</v>
      </c>
      <c r="J16" s="199">
        <v>7</v>
      </c>
      <c r="K16" s="199">
        <v>0</v>
      </c>
      <c r="L16" s="199">
        <v>5</v>
      </c>
      <c r="M16" s="199">
        <v>2</v>
      </c>
      <c r="N16" s="199">
        <v>0</v>
      </c>
      <c r="O16" s="199">
        <v>1</v>
      </c>
      <c r="P16" s="199">
        <v>12</v>
      </c>
      <c r="Q16" s="199">
        <v>3</v>
      </c>
      <c r="R16" s="199">
        <v>2</v>
      </c>
      <c r="S16" s="199">
        <v>22</v>
      </c>
      <c r="T16" s="199">
        <v>2</v>
      </c>
      <c r="U16" s="199">
        <v>3</v>
      </c>
      <c r="V16" s="199">
        <v>15</v>
      </c>
      <c r="W16" s="199">
        <v>1</v>
      </c>
      <c r="X16" s="199">
        <v>5</v>
      </c>
      <c r="Y16" s="199">
        <v>0</v>
      </c>
      <c r="Z16" s="199">
        <v>0</v>
      </c>
      <c r="AA16" s="199">
        <v>0</v>
      </c>
      <c r="AB16" s="199">
        <v>0</v>
      </c>
      <c r="AC16" s="199">
        <v>13</v>
      </c>
      <c r="AD16" s="199">
        <v>1</v>
      </c>
      <c r="AE16" s="199">
        <v>1</v>
      </c>
      <c r="AF16" s="199">
        <v>2</v>
      </c>
      <c r="AG16" s="199">
        <v>4</v>
      </c>
      <c r="AH16" s="199">
        <v>18</v>
      </c>
      <c r="AI16" s="199">
        <v>0</v>
      </c>
      <c r="AJ16" s="199">
        <v>2</v>
      </c>
      <c r="AK16" s="199">
        <v>43</v>
      </c>
      <c r="AL16" s="199">
        <v>2</v>
      </c>
      <c r="AM16" s="199">
        <v>2</v>
      </c>
      <c r="AN16" s="199">
        <v>2</v>
      </c>
      <c r="AO16" s="199">
        <v>26</v>
      </c>
      <c r="AP16" s="199">
        <v>3</v>
      </c>
      <c r="AQ16" s="199">
        <v>13</v>
      </c>
      <c r="AR16" s="199">
        <v>14</v>
      </c>
      <c r="AT16" s="56">
        <f t="shared" si="10"/>
        <v>6</v>
      </c>
      <c r="AU16" s="56">
        <f t="shared" si="8"/>
        <v>147</v>
      </c>
      <c r="AV16" s="56">
        <f t="shared" si="11"/>
        <v>17</v>
      </c>
      <c r="AW16" s="56">
        <f t="shared" si="0"/>
        <v>42</v>
      </c>
      <c r="AX16" s="56">
        <f t="shared" si="1"/>
        <v>6</v>
      </c>
      <c r="AY16" s="56">
        <f t="shared" si="2"/>
        <v>21</v>
      </c>
      <c r="AZ16" s="56">
        <f t="shared" si="3"/>
        <v>20</v>
      </c>
      <c r="BA16" s="57">
        <f t="shared" si="4"/>
        <v>49</v>
      </c>
      <c r="BB16" s="56">
        <f t="shared" si="5"/>
        <v>56</v>
      </c>
      <c r="BC16" s="74">
        <f t="shared" si="6"/>
        <v>364</v>
      </c>
    </row>
    <row r="17" spans="1:55" x14ac:dyDescent="0.25">
      <c r="A17" s="198">
        <f>+METAS!A104</f>
        <v>101</v>
      </c>
      <c r="B17" s="201" t="str">
        <f>+METAS!B104</f>
        <v>NIÑOS DE 4 MESES QUE  INICIAN SUMPLEMENTACIÓN CON HIERRO EN GOTAS</v>
      </c>
      <c r="C17" s="200" t="str">
        <f>+METAS!C104</f>
        <v>NUTRICIÓN</v>
      </c>
      <c r="D17" s="199">
        <v>0</v>
      </c>
      <c r="E17" s="199">
        <v>0</v>
      </c>
      <c r="F17" s="199">
        <v>273</v>
      </c>
      <c r="G17" s="199">
        <v>14</v>
      </c>
      <c r="H17" s="199">
        <v>7</v>
      </c>
      <c r="I17" s="199">
        <v>8</v>
      </c>
      <c r="J17" s="199">
        <v>26</v>
      </c>
      <c r="K17" s="199">
        <v>0</v>
      </c>
      <c r="L17" s="199">
        <v>15</v>
      </c>
      <c r="M17" s="199">
        <v>8</v>
      </c>
      <c r="N17" s="199">
        <v>11</v>
      </c>
      <c r="O17" s="199">
        <v>14</v>
      </c>
      <c r="P17" s="199">
        <v>22</v>
      </c>
      <c r="Q17" s="199">
        <v>8</v>
      </c>
      <c r="R17" s="199">
        <v>23</v>
      </c>
      <c r="S17" s="199">
        <v>29</v>
      </c>
      <c r="T17" s="199">
        <v>6</v>
      </c>
      <c r="U17" s="199">
        <v>9</v>
      </c>
      <c r="V17" s="199">
        <v>19</v>
      </c>
      <c r="W17" s="199">
        <v>24</v>
      </c>
      <c r="X17" s="199">
        <v>139</v>
      </c>
      <c r="Y17" s="199">
        <v>12</v>
      </c>
      <c r="Z17" s="199">
        <v>32</v>
      </c>
      <c r="AA17" s="199">
        <v>12</v>
      </c>
      <c r="AB17" s="199">
        <v>23</v>
      </c>
      <c r="AC17" s="199">
        <v>39</v>
      </c>
      <c r="AD17" s="199">
        <v>5</v>
      </c>
      <c r="AE17" s="199">
        <v>16</v>
      </c>
      <c r="AF17" s="199">
        <v>11</v>
      </c>
      <c r="AG17" s="199">
        <v>11</v>
      </c>
      <c r="AH17" s="199">
        <v>52</v>
      </c>
      <c r="AI17" s="199">
        <v>13</v>
      </c>
      <c r="AJ17" s="199">
        <v>9</v>
      </c>
      <c r="AK17" s="199">
        <v>36</v>
      </c>
      <c r="AL17" s="199">
        <v>1</v>
      </c>
      <c r="AM17" s="199">
        <v>4</v>
      </c>
      <c r="AN17" s="199">
        <v>4</v>
      </c>
      <c r="AO17" s="199">
        <v>39</v>
      </c>
      <c r="AP17" s="199">
        <v>6</v>
      </c>
      <c r="AQ17" s="199">
        <v>6</v>
      </c>
      <c r="AR17" s="199">
        <v>18</v>
      </c>
      <c r="AT17" s="56">
        <f t="shared" si="10"/>
        <v>0</v>
      </c>
      <c r="AU17" s="56">
        <f t="shared" si="8"/>
        <v>376</v>
      </c>
      <c r="AV17" s="56">
        <f t="shared" si="11"/>
        <v>53</v>
      </c>
      <c r="AW17" s="56">
        <f t="shared" si="0"/>
        <v>63</v>
      </c>
      <c r="AX17" s="56">
        <f t="shared" si="1"/>
        <v>242</v>
      </c>
      <c r="AY17" s="56">
        <f t="shared" si="2"/>
        <v>82</v>
      </c>
      <c r="AZ17" s="56">
        <f t="shared" si="3"/>
        <v>74</v>
      </c>
      <c r="BA17" s="57">
        <f t="shared" si="4"/>
        <v>45</v>
      </c>
      <c r="BB17" s="56">
        <f t="shared" si="5"/>
        <v>69</v>
      </c>
      <c r="BC17" s="74">
        <f t="shared" si="6"/>
        <v>1004</v>
      </c>
    </row>
    <row r="18" spans="1:55" x14ac:dyDescent="0.25">
      <c r="A18" s="198">
        <f>+METAS!A105</f>
        <v>102</v>
      </c>
      <c r="B18" s="198" t="str">
        <f>+METAS!B105</f>
        <v>NIÑOS MENORES DE 12 MESES DE EDAD CON SUPLEMENTO DE HIERRO Y OTROS MICRONUTRIENTES</v>
      </c>
      <c r="C18" s="197" t="str">
        <f>+METAS!C105</f>
        <v>NUTRICIÓN</v>
      </c>
      <c r="D18" s="199">
        <v>0</v>
      </c>
      <c r="E18" s="199">
        <v>0</v>
      </c>
      <c r="F18" s="199">
        <v>181</v>
      </c>
      <c r="G18" s="199">
        <v>15</v>
      </c>
      <c r="H18" s="199">
        <v>3</v>
      </c>
      <c r="I18" s="199">
        <v>12</v>
      </c>
      <c r="J18" s="199">
        <v>29</v>
      </c>
      <c r="K18" s="199">
        <v>4</v>
      </c>
      <c r="L18" s="199">
        <v>2</v>
      </c>
      <c r="M18" s="199">
        <v>9</v>
      </c>
      <c r="N18" s="199">
        <v>21</v>
      </c>
      <c r="O18" s="199">
        <v>0</v>
      </c>
      <c r="P18" s="199">
        <v>16</v>
      </c>
      <c r="Q18" s="199">
        <v>5</v>
      </c>
      <c r="R18" s="199">
        <v>12</v>
      </c>
      <c r="S18" s="199">
        <v>56</v>
      </c>
      <c r="T18" s="199">
        <v>12</v>
      </c>
      <c r="U18" s="199">
        <v>13</v>
      </c>
      <c r="V18" s="199">
        <v>23</v>
      </c>
      <c r="W18" s="199">
        <v>15</v>
      </c>
      <c r="X18" s="199">
        <v>52</v>
      </c>
      <c r="Y18" s="199">
        <v>0</v>
      </c>
      <c r="Z18" s="199">
        <v>14</v>
      </c>
      <c r="AA18" s="199">
        <v>7</v>
      </c>
      <c r="AB18" s="199">
        <v>4</v>
      </c>
      <c r="AC18" s="199">
        <v>29</v>
      </c>
      <c r="AD18" s="199">
        <v>10</v>
      </c>
      <c r="AE18" s="199">
        <v>15</v>
      </c>
      <c r="AF18" s="199">
        <v>20</v>
      </c>
      <c r="AG18" s="199">
        <v>7</v>
      </c>
      <c r="AH18" s="199">
        <v>11</v>
      </c>
      <c r="AI18" s="199">
        <v>1</v>
      </c>
      <c r="AJ18" s="199">
        <v>11</v>
      </c>
      <c r="AK18" s="199">
        <v>28</v>
      </c>
      <c r="AL18" s="199">
        <v>4</v>
      </c>
      <c r="AM18" s="199">
        <v>10</v>
      </c>
      <c r="AN18" s="199">
        <v>2</v>
      </c>
      <c r="AO18" s="199">
        <v>30</v>
      </c>
      <c r="AP18" s="199">
        <v>0</v>
      </c>
      <c r="AQ18" s="199">
        <v>3</v>
      </c>
      <c r="AR18" s="199">
        <v>19</v>
      </c>
      <c r="AT18" s="56">
        <f t="shared" si="10"/>
        <v>0</v>
      </c>
      <c r="AU18" s="56">
        <f t="shared" si="8"/>
        <v>276</v>
      </c>
      <c r="AV18" s="56">
        <f t="shared" si="11"/>
        <v>33</v>
      </c>
      <c r="AW18" s="56">
        <f t="shared" si="0"/>
        <v>104</v>
      </c>
      <c r="AX18" s="56">
        <f t="shared" si="1"/>
        <v>92</v>
      </c>
      <c r="AY18" s="56">
        <f t="shared" si="2"/>
        <v>81</v>
      </c>
      <c r="AZ18" s="56">
        <f t="shared" si="3"/>
        <v>23</v>
      </c>
      <c r="BA18" s="57">
        <f t="shared" si="4"/>
        <v>44</v>
      </c>
      <c r="BB18" s="56">
        <f t="shared" si="5"/>
        <v>52</v>
      </c>
      <c r="BC18" s="74">
        <f t="shared" si="6"/>
        <v>705</v>
      </c>
    </row>
    <row r="19" spans="1:55" x14ac:dyDescent="0.25">
      <c r="A19" s="198">
        <f>+METAS!A106</f>
        <v>103</v>
      </c>
      <c r="B19" s="201" t="str">
        <f>+METAS!B106</f>
        <v>NIÑOS  DE 24 MESES DE EDAD CON SUPLEMENTO DE HIERRO Y OTROS MICRONUTRIENTES</v>
      </c>
      <c r="C19" s="200" t="str">
        <f>+METAS!C106</f>
        <v>NUTRICIÓN</v>
      </c>
      <c r="D19" s="199">
        <v>0</v>
      </c>
      <c r="E19" s="199">
        <v>0</v>
      </c>
      <c r="F19" s="199">
        <v>2</v>
      </c>
      <c r="G19" s="199">
        <v>2</v>
      </c>
      <c r="H19" s="199">
        <v>0</v>
      </c>
      <c r="I19" s="199">
        <v>0</v>
      </c>
      <c r="J19" s="199">
        <v>4</v>
      </c>
      <c r="K19" s="199">
        <v>1</v>
      </c>
      <c r="L19" s="199">
        <v>0</v>
      </c>
      <c r="M19" s="199">
        <v>0</v>
      </c>
      <c r="N19" s="199">
        <v>0</v>
      </c>
      <c r="O19" s="199">
        <v>0</v>
      </c>
      <c r="P19" s="199">
        <v>2</v>
      </c>
      <c r="Q19" s="199">
        <v>0</v>
      </c>
      <c r="R19" s="199">
        <v>0</v>
      </c>
      <c r="S19" s="199">
        <v>15</v>
      </c>
      <c r="T19" s="199">
        <v>0</v>
      </c>
      <c r="U19" s="199">
        <v>3</v>
      </c>
      <c r="V19" s="199">
        <v>3</v>
      </c>
      <c r="W19" s="199">
        <v>0</v>
      </c>
      <c r="X19" s="199">
        <v>1</v>
      </c>
      <c r="Y19" s="199">
        <v>0</v>
      </c>
      <c r="Z19" s="199">
        <v>2</v>
      </c>
      <c r="AA19" s="199">
        <v>0</v>
      </c>
      <c r="AB19" s="199">
        <v>1</v>
      </c>
      <c r="AC19" s="199">
        <v>0</v>
      </c>
      <c r="AD19" s="199">
        <v>0</v>
      </c>
      <c r="AE19" s="199">
        <v>5</v>
      </c>
      <c r="AF19" s="199">
        <v>4</v>
      </c>
      <c r="AG19" s="199">
        <v>1</v>
      </c>
      <c r="AH19" s="199">
        <v>2</v>
      </c>
      <c r="AI19" s="199">
        <v>0</v>
      </c>
      <c r="AJ19" s="199">
        <v>0</v>
      </c>
      <c r="AK19" s="199">
        <v>1</v>
      </c>
      <c r="AL19" s="199">
        <v>2</v>
      </c>
      <c r="AM19" s="199">
        <v>0</v>
      </c>
      <c r="AN19" s="199">
        <v>0</v>
      </c>
      <c r="AO19" s="199">
        <v>3</v>
      </c>
      <c r="AP19" s="199">
        <v>0</v>
      </c>
      <c r="AQ19" s="199">
        <v>0</v>
      </c>
      <c r="AR19" s="199">
        <v>0</v>
      </c>
      <c r="AT19" s="56">
        <f t="shared" si="10"/>
        <v>0</v>
      </c>
      <c r="AU19" s="56">
        <f t="shared" si="8"/>
        <v>9</v>
      </c>
      <c r="AV19" s="56">
        <f t="shared" si="11"/>
        <v>2</v>
      </c>
      <c r="AW19" s="56">
        <f>+SUM(S19:V19)</f>
        <v>21</v>
      </c>
      <c r="AX19" s="56">
        <f t="shared" si="1"/>
        <v>4</v>
      </c>
      <c r="AY19" s="56">
        <f t="shared" si="2"/>
        <v>10</v>
      </c>
      <c r="AZ19" s="56">
        <f t="shared" si="3"/>
        <v>2</v>
      </c>
      <c r="BA19" s="57">
        <f t="shared" si="4"/>
        <v>3</v>
      </c>
      <c r="BB19" s="56">
        <f t="shared" si="5"/>
        <v>3</v>
      </c>
      <c r="BC19" s="74">
        <f t="shared" si="6"/>
        <v>54</v>
      </c>
    </row>
    <row r="20" spans="1:55" x14ac:dyDescent="0.25">
      <c r="A20" s="198">
        <f>+METAS!A107</f>
        <v>104</v>
      </c>
      <c r="B20" s="198" t="str">
        <f>+METAS!B107</f>
        <v>NIÑOS MENORES DE 36 MESES DE EDAD CON SUPLEMENTO DE HIERRO Y OTROS MICRONUTRIENTES</v>
      </c>
      <c r="C20" s="197" t="str">
        <f>+METAS!C107</f>
        <v>NUTRICIÓN</v>
      </c>
      <c r="D20" s="199">
        <v>0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  <c r="AE20" s="199">
        <v>0</v>
      </c>
      <c r="AF20" s="199">
        <v>0</v>
      </c>
      <c r="AG20" s="199">
        <v>0</v>
      </c>
      <c r="AH20" s="199">
        <v>0</v>
      </c>
      <c r="AI20" s="199">
        <v>0</v>
      </c>
      <c r="AJ20" s="199">
        <v>0</v>
      </c>
      <c r="AK20" s="199">
        <v>0</v>
      </c>
      <c r="AL20" s="199">
        <v>0</v>
      </c>
      <c r="AM20" s="199">
        <v>0</v>
      </c>
      <c r="AN20" s="199">
        <v>0</v>
      </c>
      <c r="AO20" s="199">
        <v>0</v>
      </c>
      <c r="AP20" s="199">
        <v>0</v>
      </c>
      <c r="AQ20" s="199">
        <v>0</v>
      </c>
      <c r="AR20" s="199">
        <v>0</v>
      </c>
      <c r="AT20" s="56">
        <f t="shared" si="10"/>
        <v>0</v>
      </c>
      <c r="AU20" s="56">
        <f t="shared" si="8"/>
        <v>0</v>
      </c>
      <c r="AV20" s="56">
        <f t="shared" si="11"/>
        <v>0</v>
      </c>
      <c r="AW20" s="56">
        <f t="shared" si="0"/>
        <v>0</v>
      </c>
      <c r="AX20" s="56">
        <f t="shared" si="1"/>
        <v>0</v>
      </c>
      <c r="AY20" s="56">
        <f t="shared" si="2"/>
        <v>0</v>
      </c>
      <c r="AZ20" s="56">
        <f t="shared" si="3"/>
        <v>0</v>
      </c>
      <c r="BA20" s="57">
        <f t="shared" si="4"/>
        <v>0</v>
      </c>
      <c r="BB20" s="56">
        <f t="shared" si="5"/>
        <v>0</v>
      </c>
      <c r="BC20" s="74">
        <f t="shared" si="6"/>
        <v>0</v>
      </c>
    </row>
    <row r="21" spans="1:55" x14ac:dyDescent="0.25">
      <c r="A21" s="198">
        <f>+METAS!A108</f>
        <v>105</v>
      </c>
      <c r="B21" s="201" t="str">
        <f>+METAS!B108</f>
        <v>NIÑOS MENORES DE UN AÑO  ( 6 A 11 MESES) CON  SUPLEMENTO DE VITAMINA A</v>
      </c>
      <c r="C21" s="200" t="str">
        <f>+METAS!C108</f>
        <v>NUTRICIÓN</v>
      </c>
      <c r="D21" s="199">
        <v>0</v>
      </c>
      <c r="E21" s="199">
        <v>0</v>
      </c>
      <c r="F21" s="199">
        <v>218</v>
      </c>
      <c r="G21" s="199">
        <v>4</v>
      </c>
      <c r="H21" s="199">
        <v>10</v>
      </c>
      <c r="I21" s="199">
        <v>6</v>
      </c>
      <c r="J21" s="199">
        <v>7</v>
      </c>
      <c r="K21" s="199">
        <v>0</v>
      </c>
      <c r="L21" s="199">
        <v>14</v>
      </c>
      <c r="M21" s="199">
        <v>6</v>
      </c>
      <c r="N21" s="199">
        <v>11</v>
      </c>
      <c r="O21" s="199">
        <v>0</v>
      </c>
      <c r="P21" s="199">
        <v>1</v>
      </c>
      <c r="Q21" s="199">
        <v>7</v>
      </c>
      <c r="R21" s="199">
        <v>5</v>
      </c>
      <c r="S21" s="199">
        <v>16</v>
      </c>
      <c r="T21" s="199">
        <v>6</v>
      </c>
      <c r="U21" s="199">
        <v>7</v>
      </c>
      <c r="V21" s="199">
        <v>7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  <c r="AB21" s="199">
        <v>0</v>
      </c>
      <c r="AC21" s="199">
        <v>40</v>
      </c>
      <c r="AD21" s="199">
        <v>7</v>
      </c>
      <c r="AE21" s="199">
        <v>15</v>
      </c>
      <c r="AF21" s="199">
        <v>10</v>
      </c>
      <c r="AG21" s="199">
        <v>16</v>
      </c>
      <c r="AH21" s="199">
        <v>38</v>
      </c>
      <c r="AI21" s="199">
        <v>10</v>
      </c>
      <c r="AJ21" s="199">
        <v>7</v>
      </c>
      <c r="AK21" s="199">
        <v>41</v>
      </c>
      <c r="AL21" s="199">
        <v>4</v>
      </c>
      <c r="AM21" s="199">
        <v>6</v>
      </c>
      <c r="AN21" s="199">
        <v>2</v>
      </c>
      <c r="AO21" s="199">
        <v>22</v>
      </c>
      <c r="AP21" s="199">
        <v>4</v>
      </c>
      <c r="AQ21" s="199">
        <v>5</v>
      </c>
      <c r="AR21" s="199">
        <v>5</v>
      </c>
      <c r="AT21" s="56">
        <f t="shared" si="10"/>
        <v>0</v>
      </c>
      <c r="AU21" s="56">
        <f t="shared" si="8"/>
        <v>276</v>
      </c>
      <c r="AV21" s="56">
        <f t="shared" si="11"/>
        <v>13</v>
      </c>
      <c r="AW21" s="56">
        <f t="shared" si="0"/>
        <v>36</v>
      </c>
      <c r="AX21" s="56">
        <f t="shared" si="1"/>
        <v>0</v>
      </c>
      <c r="AY21" s="56">
        <f t="shared" si="2"/>
        <v>88</v>
      </c>
      <c r="AZ21" s="56">
        <f t="shared" si="3"/>
        <v>55</v>
      </c>
      <c r="BA21" s="57">
        <f t="shared" si="4"/>
        <v>53</v>
      </c>
      <c r="BB21" s="56">
        <f t="shared" si="5"/>
        <v>36</v>
      </c>
      <c r="BC21" s="74">
        <f t="shared" si="6"/>
        <v>557</v>
      </c>
    </row>
    <row r="22" spans="1:55" x14ac:dyDescent="0.25">
      <c r="A22" s="198">
        <f>+METAS!A109</f>
        <v>106</v>
      </c>
      <c r="B22" s="198" t="str">
        <f>+METAS!B109</f>
        <v xml:space="preserve">NIÑOS  DE 12 A 59 MESES CON  SUPLEMENTO DE VITAMINA A  </v>
      </c>
      <c r="C22" s="197" t="str">
        <f>+METAS!C109</f>
        <v>NUTRICIÓN</v>
      </c>
      <c r="D22" s="199">
        <v>0</v>
      </c>
      <c r="E22" s="199">
        <v>0</v>
      </c>
      <c r="F22" s="199">
        <v>378</v>
      </c>
      <c r="G22" s="199">
        <v>43</v>
      </c>
      <c r="H22" s="199">
        <v>15</v>
      </c>
      <c r="I22" s="199">
        <v>44</v>
      </c>
      <c r="J22" s="199">
        <v>33</v>
      </c>
      <c r="K22" s="199">
        <v>2</v>
      </c>
      <c r="L22" s="199">
        <v>16</v>
      </c>
      <c r="M22" s="199">
        <v>26</v>
      </c>
      <c r="N22" s="199">
        <v>54</v>
      </c>
      <c r="O22" s="199">
        <v>35</v>
      </c>
      <c r="P22" s="199">
        <v>33</v>
      </c>
      <c r="Q22" s="199">
        <v>16</v>
      </c>
      <c r="R22" s="199">
        <v>34</v>
      </c>
      <c r="S22" s="199">
        <v>26</v>
      </c>
      <c r="T22" s="199">
        <v>18</v>
      </c>
      <c r="U22" s="199">
        <v>17</v>
      </c>
      <c r="V22" s="199">
        <v>53</v>
      </c>
      <c r="W22" s="199">
        <v>0</v>
      </c>
      <c r="X22" s="199">
        <v>2</v>
      </c>
      <c r="Y22" s="199">
        <v>0</v>
      </c>
      <c r="Z22" s="199">
        <v>1</v>
      </c>
      <c r="AA22" s="199">
        <v>0</v>
      </c>
      <c r="AB22" s="199">
        <v>0</v>
      </c>
      <c r="AC22" s="199">
        <v>89</v>
      </c>
      <c r="AD22" s="199">
        <v>25</v>
      </c>
      <c r="AE22" s="199">
        <v>34</v>
      </c>
      <c r="AF22" s="199">
        <v>38</v>
      </c>
      <c r="AG22" s="199">
        <v>29</v>
      </c>
      <c r="AH22" s="199">
        <v>65</v>
      </c>
      <c r="AI22" s="199">
        <v>11</v>
      </c>
      <c r="AJ22" s="199">
        <v>17</v>
      </c>
      <c r="AK22" s="199">
        <v>61</v>
      </c>
      <c r="AL22" s="199">
        <v>10</v>
      </c>
      <c r="AM22" s="199">
        <v>21</v>
      </c>
      <c r="AN22" s="199">
        <v>4</v>
      </c>
      <c r="AO22" s="199">
        <v>14</v>
      </c>
      <c r="AP22" s="199">
        <v>2</v>
      </c>
      <c r="AQ22" s="199">
        <v>8</v>
      </c>
      <c r="AR22" s="199">
        <v>6</v>
      </c>
      <c r="AT22" s="56">
        <f t="shared" si="10"/>
        <v>0</v>
      </c>
      <c r="AU22" s="56">
        <f t="shared" si="8"/>
        <v>646</v>
      </c>
      <c r="AV22" s="56">
        <f t="shared" si="11"/>
        <v>83</v>
      </c>
      <c r="AW22" s="56">
        <f t="shared" si="0"/>
        <v>114</v>
      </c>
      <c r="AX22" s="56">
        <f t="shared" si="1"/>
        <v>3</v>
      </c>
      <c r="AY22" s="56">
        <f t="shared" si="2"/>
        <v>215</v>
      </c>
      <c r="AZ22" s="56">
        <f t="shared" si="3"/>
        <v>93</v>
      </c>
      <c r="BA22" s="57">
        <f t="shared" si="4"/>
        <v>96</v>
      </c>
      <c r="BB22" s="56">
        <f t="shared" si="5"/>
        <v>30</v>
      </c>
      <c r="BC22" s="74">
        <f t="shared" si="6"/>
        <v>1280</v>
      </c>
    </row>
    <row r="23" spans="1:55" x14ac:dyDescent="0.25">
      <c r="A23" s="198">
        <f>+METAS!A110</f>
        <v>107</v>
      </c>
      <c r="B23" s="201" t="str">
        <f>+METAS!B110</f>
        <v>NIÑO MENOR DE 5 AÑOS CON SUPLEMENTO DE VITAMINA A</v>
      </c>
      <c r="C23" s="200" t="str">
        <f>+METAS!C110</f>
        <v>NUTRICIÓN</v>
      </c>
      <c r="D23" s="199">
        <v>0</v>
      </c>
      <c r="E23" s="199">
        <v>0</v>
      </c>
      <c r="F23" s="199">
        <v>253</v>
      </c>
      <c r="G23" s="199">
        <v>31</v>
      </c>
      <c r="H23" s="199">
        <v>19</v>
      </c>
      <c r="I23" s="199">
        <v>27</v>
      </c>
      <c r="J23" s="199">
        <v>31</v>
      </c>
      <c r="K23" s="199">
        <v>2</v>
      </c>
      <c r="L23" s="199">
        <v>9</v>
      </c>
      <c r="M23" s="199">
        <v>11</v>
      </c>
      <c r="N23" s="199">
        <v>61</v>
      </c>
      <c r="O23" s="199">
        <v>12</v>
      </c>
      <c r="P23" s="199">
        <v>0</v>
      </c>
      <c r="Q23" s="199">
        <v>0</v>
      </c>
      <c r="R23" s="199">
        <v>0</v>
      </c>
      <c r="S23" s="199">
        <v>1</v>
      </c>
      <c r="T23" s="199">
        <v>0</v>
      </c>
      <c r="U23" s="199">
        <v>2</v>
      </c>
      <c r="V23" s="199">
        <v>0</v>
      </c>
      <c r="W23" s="199">
        <v>0</v>
      </c>
      <c r="X23" s="199">
        <v>1</v>
      </c>
      <c r="Y23" s="199">
        <v>0</v>
      </c>
      <c r="Z23" s="199">
        <v>0</v>
      </c>
      <c r="AA23" s="199">
        <v>0</v>
      </c>
      <c r="AB23" s="199">
        <v>0</v>
      </c>
      <c r="AC23" s="199">
        <v>1</v>
      </c>
      <c r="AD23" s="199">
        <v>0</v>
      </c>
      <c r="AE23" s="199">
        <v>1</v>
      </c>
      <c r="AF23" s="199">
        <v>0</v>
      </c>
      <c r="AG23" s="199">
        <v>1</v>
      </c>
      <c r="AH23" s="199">
        <v>49</v>
      </c>
      <c r="AI23" s="199">
        <v>5</v>
      </c>
      <c r="AJ23" s="199">
        <v>22</v>
      </c>
      <c r="AK23" s="199">
        <v>43</v>
      </c>
      <c r="AL23" s="199">
        <v>9</v>
      </c>
      <c r="AM23" s="199">
        <v>8</v>
      </c>
      <c r="AN23" s="199">
        <v>6</v>
      </c>
      <c r="AO23" s="199">
        <v>9</v>
      </c>
      <c r="AP23" s="199">
        <v>0</v>
      </c>
      <c r="AQ23" s="199">
        <v>0</v>
      </c>
      <c r="AR23" s="199">
        <v>0</v>
      </c>
      <c r="AT23" s="56">
        <f t="shared" si="10"/>
        <v>0</v>
      </c>
      <c r="AU23" s="56">
        <f t="shared" si="8"/>
        <v>456</v>
      </c>
      <c r="AV23" s="56">
        <f t="shared" si="11"/>
        <v>0</v>
      </c>
      <c r="AW23" s="56">
        <f t="shared" si="0"/>
        <v>3</v>
      </c>
      <c r="AX23" s="56">
        <f t="shared" si="1"/>
        <v>1</v>
      </c>
      <c r="AY23" s="56">
        <f t="shared" si="2"/>
        <v>3</v>
      </c>
      <c r="AZ23" s="56">
        <f t="shared" si="3"/>
        <v>76</v>
      </c>
      <c r="BA23" s="57">
        <f t="shared" si="4"/>
        <v>66</v>
      </c>
      <c r="BB23" s="56">
        <f t="shared" si="5"/>
        <v>9</v>
      </c>
      <c r="BC23" s="74">
        <f t="shared" si="6"/>
        <v>614</v>
      </c>
    </row>
    <row r="24" spans="1:55" x14ac:dyDescent="0.25">
      <c r="A24" s="198">
        <f>+METAS!A111</f>
        <v>108</v>
      </c>
      <c r="B24" s="198" t="str">
        <f>+METAS!B111</f>
        <v>NIÑOS DE 6 A 11 MESES DE EDAD CON DOSAJE DE HEMOGLOBINA</v>
      </c>
      <c r="C24" s="197" t="str">
        <f>+METAS!C111</f>
        <v>NUTRICIÓN</v>
      </c>
      <c r="D24" s="199">
        <v>0</v>
      </c>
      <c r="E24" s="199">
        <v>0</v>
      </c>
      <c r="F24" s="199">
        <v>220</v>
      </c>
      <c r="G24" s="199">
        <v>13</v>
      </c>
      <c r="H24" s="199">
        <v>8</v>
      </c>
      <c r="I24" s="199">
        <v>12</v>
      </c>
      <c r="J24" s="199">
        <v>25</v>
      </c>
      <c r="K24" s="199">
        <v>0</v>
      </c>
      <c r="L24" s="199">
        <v>12</v>
      </c>
      <c r="M24" s="199">
        <v>6</v>
      </c>
      <c r="N24" s="199">
        <v>11</v>
      </c>
      <c r="O24" s="199">
        <v>19</v>
      </c>
      <c r="P24" s="199">
        <v>15</v>
      </c>
      <c r="Q24" s="199">
        <v>8</v>
      </c>
      <c r="R24" s="199">
        <v>14</v>
      </c>
      <c r="S24" s="199">
        <v>14</v>
      </c>
      <c r="T24" s="199">
        <v>5</v>
      </c>
      <c r="U24" s="199">
        <v>5</v>
      </c>
      <c r="V24" s="199">
        <v>10</v>
      </c>
      <c r="W24" s="199">
        <v>26</v>
      </c>
      <c r="X24" s="199">
        <v>127</v>
      </c>
      <c r="Y24" s="199">
        <v>8</v>
      </c>
      <c r="Z24" s="199">
        <v>23</v>
      </c>
      <c r="AA24" s="199">
        <v>7</v>
      </c>
      <c r="AB24" s="199">
        <v>18</v>
      </c>
      <c r="AC24" s="199">
        <v>36</v>
      </c>
      <c r="AD24" s="199">
        <v>7</v>
      </c>
      <c r="AE24" s="199">
        <v>14</v>
      </c>
      <c r="AF24" s="199">
        <v>10</v>
      </c>
      <c r="AG24" s="199">
        <v>16</v>
      </c>
      <c r="AH24" s="199">
        <v>48</v>
      </c>
      <c r="AI24" s="199">
        <v>10</v>
      </c>
      <c r="AJ24" s="199">
        <v>7</v>
      </c>
      <c r="AK24" s="199">
        <v>22</v>
      </c>
      <c r="AL24" s="199">
        <v>2</v>
      </c>
      <c r="AM24" s="199">
        <v>6</v>
      </c>
      <c r="AN24" s="199">
        <v>3</v>
      </c>
      <c r="AO24" s="199">
        <v>40</v>
      </c>
      <c r="AP24" s="199">
        <v>7</v>
      </c>
      <c r="AQ24" s="199">
        <v>4</v>
      </c>
      <c r="AR24" s="199">
        <v>15</v>
      </c>
      <c r="AT24" s="56">
        <f t="shared" si="10"/>
        <v>0</v>
      </c>
      <c r="AU24" s="56">
        <f t="shared" si="8"/>
        <v>326</v>
      </c>
      <c r="AV24" s="56">
        <f t="shared" si="11"/>
        <v>37</v>
      </c>
      <c r="AW24" s="56">
        <f t="shared" si="0"/>
        <v>34</v>
      </c>
      <c r="AX24" s="56">
        <f t="shared" si="1"/>
        <v>209</v>
      </c>
      <c r="AY24" s="56">
        <f t="shared" si="2"/>
        <v>83</v>
      </c>
      <c r="AZ24" s="56">
        <f t="shared" si="3"/>
        <v>65</v>
      </c>
      <c r="BA24" s="57">
        <f t="shared" si="4"/>
        <v>33</v>
      </c>
      <c r="BB24" s="56">
        <f t="shared" si="5"/>
        <v>66</v>
      </c>
      <c r="BC24" s="74">
        <f t="shared" si="6"/>
        <v>853</v>
      </c>
    </row>
    <row r="25" spans="1:55" x14ac:dyDescent="0.25">
      <c r="A25" s="198">
        <f>+METAS!A112</f>
        <v>109</v>
      </c>
      <c r="B25" s="201" t="str">
        <f>+METAS!B112</f>
        <v>NIÑOS DE 12 A 23 MESES DE EDAD CON DOSAJE DE HEMOGLOBINA</v>
      </c>
      <c r="C25" s="200" t="str">
        <f>+METAS!C112</f>
        <v>NUTRICIÓN</v>
      </c>
      <c r="D25" s="199">
        <v>0</v>
      </c>
      <c r="E25" s="199">
        <v>0</v>
      </c>
      <c r="F25" s="199">
        <v>272</v>
      </c>
      <c r="G25" s="199">
        <v>16</v>
      </c>
      <c r="H25" s="199">
        <v>13</v>
      </c>
      <c r="I25" s="199">
        <v>13</v>
      </c>
      <c r="J25" s="199">
        <v>36</v>
      </c>
      <c r="K25" s="199">
        <v>2</v>
      </c>
      <c r="L25" s="199">
        <v>7</v>
      </c>
      <c r="M25" s="199">
        <v>12</v>
      </c>
      <c r="N25" s="199">
        <v>31</v>
      </c>
      <c r="O25" s="199">
        <v>20</v>
      </c>
      <c r="P25" s="199">
        <v>9</v>
      </c>
      <c r="Q25" s="199">
        <v>2</v>
      </c>
      <c r="R25" s="199">
        <v>3</v>
      </c>
      <c r="S25" s="199">
        <v>39</v>
      </c>
      <c r="T25" s="199">
        <v>9</v>
      </c>
      <c r="U25" s="199">
        <v>14</v>
      </c>
      <c r="V25" s="199">
        <v>21</v>
      </c>
      <c r="W25" s="199">
        <v>40</v>
      </c>
      <c r="X25" s="199">
        <v>145</v>
      </c>
      <c r="Y25" s="199">
        <v>11</v>
      </c>
      <c r="Z25" s="199">
        <v>26</v>
      </c>
      <c r="AA25" s="199">
        <v>6</v>
      </c>
      <c r="AB25" s="199">
        <v>12</v>
      </c>
      <c r="AC25" s="199">
        <v>46</v>
      </c>
      <c r="AD25" s="199">
        <v>18</v>
      </c>
      <c r="AE25" s="199">
        <v>19</v>
      </c>
      <c r="AF25" s="199">
        <v>23</v>
      </c>
      <c r="AG25" s="199">
        <v>25</v>
      </c>
      <c r="AH25" s="199">
        <v>60</v>
      </c>
      <c r="AI25" s="199">
        <v>9</v>
      </c>
      <c r="AJ25" s="199">
        <v>17</v>
      </c>
      <c r="AK25" s="199">
        <v>28</v>
      </c>
      <c r="AL25" s="199">
        <v>6</v>
      </c>
      <c r="AM25" s="199">
        <v>7</v>
      </c>
      <c r="AN25" s="199">
        <v>8</v>
      </c>
      <c r="AO25" s="199">
        <v>34</v>
      </c>
      <c r="AP25" s="199">
        <v>4</v>
      </c>
      <c r="AQ25" s="199">
        <v>2</v>
      </c>
      <c r="AR25" s="199">
        <v>17</v>
      </c>
      <c r="AT25" s="56">
        <f t="shared" si="10"/>
        <v>0</v>
      </c>
      <c r="AU25" s="56">
        <f t="shared" si="8"/>
        <v>422</v>
      </c>
      <c r="AV25" s="56">
        <f t="shared" si="11"/>
        <v>14</v>
      </c>
      <c r="AW25" s="56">
        <f t="shared" si="0"/>
        <v>83</v>
      </c>
      <c r="AX25" s="56">
        <f t="shared" si="1"/>
        <v>240</v>
      </c>
      <c r="AY25" s="56">
        <f t="shared" si="2"/>
        <v>131</v>
      </c>
      <c r="AZ25" s="56">
        <f t="shared" si="3"/>
        <v>86</v>
      </c>
      <c r="BA25" s="57">
        <f t="shared" si="4"/>
        <v>49</v>
      </c>
      <c r="BB25" s="56">
        <f t="shared" si="5"/>
        <v>57</v>
      </c>
      <c r="BC25" s="74">
        <f t="shared" si="6"/>
        <v>1082</v>
      </c>
    </row>
    <row r="26" spans="1:55" x14ac:dyDescent="0.25">
      <c r="A26" s="198">
        <f>+METAS!A113</f>
        <v>110</v>
      </c>
      <c r="B26" s="198" t="str">
        <f>+METAS!B113</f>
        <v>NIÑOS DE 24 A 35 MESES DE EDAD CON DOSAJE DE HEMOGLOBINA</v>
      </c>
      <c r="C26" s="197" t="str">
        <f>+METAS!C113</f>
        <v>NUTRICIÓN</v>
      </c>
      <c r="D26" s="199">
        <v>0</v>
      </c>
      <c r="E26" s="199">
        <v>0</v>
      </c>
      <c r="F26" s="199">
        <v>198</v>
      </c>
      <c r="G26" s="199">
        <v>8</v>
      </c>
      <c r="H26" s="199">
        <v>5</v>
      </c>
      <c r="I26" s="199">
        <v>10</v>
      </c>
      <c r="J26" s="199">
        <v>10</v>
      </c>
      <c r="K26" s="199">
        <v>5</v>
      </c>
      <c r="L26" s="199">
        <v>7</v>
      </c>
      <c r="M26" s="199">
        <v>9</v>
      </c>
      <c r="N26" s="199">
        <v>13</v>
      </c>
      <c r="O26" s="199">
        <v>10</v>
      </c>
      <c r="P26" s="199">
        <v>2</v>
      </c>
      <c r="Q26" s="199">
        <v>2</v>
      </c>
      <c r="R26" s="199">
        <v>9</v>
      </c>
      <c r="S26" s="199">
        <v>20</v>
      </c>
      <c r="T26" s="199">
        <v>7</v>
      </c>
      <c r="U26" s="199">
        <v>5</v>
      </c>
      <c r="V26" s="199">
        <v>9</v>
      </c>
      <c r="W26" s="199">
        <v>16</v>
      </c>
      <c r="X26" s="199">
        <v>83</v>
      </c>
      <c r="Y26" s="199">
        <v>4</v>
      </c>
      <c r="Z26" s="199">
        <v>21</v>
      </c>
      <c r="AA26" s="199">
        <v>4</v>
      </c>
      <c r="AB26" s="199">
        <v>9</v>
      </c>
      <c r="AC26" s="199">
        <v>27</v>
      </c>
      <c r="AD26" s="199">
        <v>5</v>
      </c>
      <c r="AE26" s="199">
        <v>10</v>
      </c>
      <c r="AF26" s="199">
        <v>8</v>
      </c>
      <c r="AG26" s="199">
        <v>13</v>
      </c>
      <c r="AH26" s="199">
        <v>36</v>
      </c>
      <c r="AI26" s="199">
        <v>16</v>
      </c>
      <c r="AJ26" s="199">
        <v>6</v>
      </c>
      <c r="AK26" s="199">
        <v>33</v>
      </c>
      <c r="AL26" s="199">
        <v>3</v>
      </c>
      <c r="AM26" s="199">
        <v>1</v>
      </c>
      <c r="AN26" s="199">
        <v>1</v>
      </c>
      <c r="AO26" s="199">
        <v>14</v>
      </c>
      <c r="AP26" s="199">
        <v>6</v>
      </c>
      <c r="AQ26" s="199">
        <v>8</v>
      </c>
      <c r="AR26" s="199">
        <v>8</v>
      </c>
      <c r="AT26" s="56">
        <f t="shared" si="10"/>
        <v>0</v>
      </c>
      <c r="AU26" s="56">
        <f t="shared" si="8"/>
        <v>275</v>
      </c>
      <c r="AV26" s="56">
        <f t="shared" si="11"/>
        <v>13</v>
      </c>
      <c r="AW26" s="56">
        <f t="shared" si="0"/>
        <v>41</v>
      </c>
      <c r="AX26" s="56">
        <f t="shared" si="1"/>
        <v>137</v>
      </c>
      <c r="AY26" s="56">
        <f t="shared" si="2"/>
        <v>63</v>
      </c>
      <c r="AZ26" s="56">
        <f t="shared" si="3"/>
        <v>58</v>
      </c>
      <c r="BA26" s="57">
        <f t="shared" si="4"/>
        <v>38</v>
      </c>
      <c r="BB26" s="56">
        <f t="shared" si="5"/>
        <v>36</v>
      </c>
      <c r="BC26" s="74">
        <f t="shared" si="6"/>
        <v>661</v>
      </c>
    </row>
    <row r="27" spans="1:55" x14ac:dyDescent="0.25">
      <c r="A27" s="198">
        <f>+METAS!A114</f>
        <v>111</v>
      </c>
      <c r="B27" s="201" t="str">
        <f>+METAS!B114</f>
        <v>NIÑOS DE 6 A 35 MESES DE EDAD CON DOSAJE DE HEMOGLOBINA</v>
      </c>
      <c r="C27" s="200" t="str">
        <f>+METAS!C114</f>
        <v>NUTRICIÓN</v>
      </c>
      <c r="D27" s="199">
        <v>0</v>
      </c>
      <c r="E27" s="199">
        <v>0</v>
      </c>
      <c r="F27" s="199">
        <v>855</v>
      </c>
      <c r="G27" s="199">
        <v>38</v>
      </c>
      <c r="H27" s="199">
        <v>29</v>
      </c>
      <c r="I27" s="199">
        <v>38</v>
      </c>
      <c r="J27" s="199">
        <v>75</v>
      </c>
      <c r="K27" s="199">
        <v>7</v>
      </c>
      <c r="L27" s="199">
        <v>33</v>
      </c>
      <c r="M27" s="199">
        <v>27</v>
      </c>
      <c r="N27" s="199">
        <v>57</v>
      </c>
      <c r="O27" s="199">
        <v>54</v>
      </c>
      <c r="P27" s="199">
        <v>36</v>
      </c>
      <c r="Q27" s="199">
        <v>15</v>
      </c>
      <c r="R27" s="199">
        <v>42</v>
      </c>
      <c r="S27" s="199">
        <v>83</v>
      </c>
      <c r="T27" s="199">
        <v>21</v>
      </c>
      <c r="U27" s="199">
        <v>25</v>
      </c>
      <c r="V27" s="199">
        <v>42</v>
      </c>
      <c r="W27" s="199">
        <v>95</v>
      </c>
      <c r="X27" s="199">
        <v>429</v>
      </c>
      <c r="Y27" s="199">
        <v>30</v>
      </c>
      <c r="Z27" s="199">
        <v>80</v>
      </c>
      <c r="AA27" s="199">
        <v>34</v>
      </c>
      <c r="AB27" s="199">
        <v>48</v>
      </c>
      <c r="AC27" s="199">
        <v>114</v>
      </c>
      <c r="AD27" s="199">
        <v>32</v>
      </c>
      <c r="AE27" s="199">
        <v>45</v>
      </c>
      <c r="AF27" s="199">
        <v>44</v>
      </c>
      <c r="AG27" s="199">
        <v>57</v>
      </c>
      <c r="AH27" s="199">
        <v>182</v>
      </c>
      <c r="AI27" s="199">
        <v>41</v>
      </c>
      <c r="AJ27" s="199">
        <v>30</v>
      </c>
      <c r="AK27" s="199">
        <v>95</v>
      </c>
      <c r="AL27" s="199">
        <v>11</v>
      </c>
      <c r="AM27" s="199">
        <v>18</v>
      </c>
      <c r="AN27" s="199">
        <v>14</v>
      </c>
      <c r="AO27" s="199">
        <v>106</v>
      </c>
      <c r="AP27" s="199">
        <v>28</v>
      </c>
      <c r="AQ27" s="199">
        <v>26</v>
      </c>
      <c r="AR27" s="199">
        <v>46</v>
      </c>
      <c r="AT27" s="56">
        <f t="shared" si="10"/>
        <v>0</v>
      </c>
      <c r="AU27" s="56">
        <f t="shared" si="8"/>
        <v>1213</v>
      </c>
      <c r="AV27" s="56">
        <f t="shared" si="11"/>
        <v>93</v>
      </c>
      <c r="AW27" s="56">
        <f t="shared" si="0"/>
        <v>171</v>
      </c>
      <c r="AX27" s="56">
        <f t="shared" si="1"/>
        <v>716</v>
      </c>
      <c r="AY27" s="56">
        <f t="shared" si="2"/>
        <v>292</v>
      </c>
      <c r="AZ27" s="56">
        <f t="shared" si="3"/>
        <v>253</v>
      </c>
      <c r="BA27" s="57">
        <f t="shared" si="4"/>
        <v>138</v>
      </c>
      <c r="BB27" s="56">
        <f t="shared" si="5"/>
        <v>206</v>
      </c>
      <c r="BC27" s="74">
        <f t="shared" si="6"/>
        <v>3082</v>
      </c>
    </row>
  </sheetData>
  <sheetProtection selectLockedCells="1"/>
  <autoFilter ref="A3:BP27" xr:uid="{00000000-0009-0000-0000-000012000000}"/>
  <conditionalFormatting sqref="B3:AR3">
    <cfRule type="expression" dxfId="27" priority="3">
      <formula>_xludf.MOD(_xludf.ROW(),2)=0</formula>
    </cfRule>
  </conditionalFormatting>
  <conditionalFormatting sqref="A3">
    <cfRule type="expression" dxfId="26" priority="2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33CCFF"/>
  </sheetPr>
  <dimension ref="A1:TG556"/>
  <sheetViews>
    <sheetView showGridLines="0" tabSelected="1" zoomScale="80" zoomScaleNormal="80" zoomScaleSheetLayoutView="85" workbookViewId="0">
      <selection activeCell="Z12" sqref="Z12"/>
    </sheetView>
  </sheetViews>
  <sheetFormatPr baseColWidth="10" defaultRowHeight="15" x14ac:dyDescent="0.25"/>
  <cols>
    <col min="1" max="1" width="17" style="5" customWidth="1"/>
    <col min="2" max="2" width="8.5703125" style="48" customWidth="1"/>
    <col min="3" max="3" width="8" style="101" customWidth="1"/>
    <col min="4" max="4" width="9.140625" style="102" customWidth="1"/>
    <col min="5" max="5" width="7.85546875" style="102" customWidth="1"/>
    <col min="6" max="7" width="8.140625" style="103" customWidth="1"/>
    <col min="8" max="8" width="8.5703125" style="103" customWidth="1"/>
    <col min="9" max="9" width="8.5703125" style="159" customWidth="1"/>
    <col min="10" max="10" width="7.85546875" style="159" customWidth="1"/>
    <col min="11" max="11" width="2.28515625" style="48" customWidth="1"/>
    <col min="12" max="12" width="1.5703125" style="48" customWidth="1"/>
    <col min="13" max="13" width="12.28515625" style="48" customWidth="1"/>
    <col min="14" max="14" width="13.42578125" style="48" customWidth="1"/>
    <col min="15" max="15" width="16.28515625" style="48" customWidth="1"/>
    <col min="16" max="16" width="24" style="48" customWidth="1"/>
    <col min="17" max="17" width="15.140625" style="48" customWidth="1"/>
    <col min="18" max="18" width="12.42578125" style="48" customWidth="1"/>
    <col min="19" max="19" width="2.140625" style="48" customWidth="1"/>
    <col min="20" max="20" width="2.7109375" style="48" customWidth="1"/>
    <col min="21" max="21" width="3.7109375" style="96" customWidth="1"/>
    <col min="22" max="22" width="11.42578125" style="122"/>
    <col min="23" max="26" width="11.42578125" style="18"/>
    <col min="27" max="16384" width="11.42578125" style="48"/>
  </cols>
  <sheetData>
    <row r="1" spans="1:23" ht="18" customHeight="1" x14ac:dyDescent="0.25">
      <c r="B1" s="205" t="s">
        <v>251</v>
      </c>
      <c r="C1" s="205"/>
      <c r="E1" s="205" t="s">
        <v>15</v>
      </c>
      <c r="F1" s="205"/>
      <c r="H1" s="6" t="s">
        <v>16</v>
      </c>
      <c r="I1" s="6"/>
      <c r="J1" s="48"/>
      <c r="T1" s="18"/>
      <c r="V1" s="97" t="str">
        <f>Config!$B$2</f>
        <v>RED. MOYOBAMBA:</v>
      </c>
      <c r="W1" s="98"/>
    </row>
    <row r="2" spans="1:23" ht="18" customHeight="1" x14ac:dyDescent="0.25">
      <c r="B2" s="99" t="s">
        <v>14</v>
      </c>
      <c r="C2" s="99" t="s">
        <v>12</v>
      </c>
      <c r="E2" s="99" t="s">
        <v>14</v>
      </c>
      <c r="F2" s="99" t="s">
        <v>12</v>
      </c>
      <c r="G2" s="48"/>
      <c r="H2" s="99" t="s">
        <v>14</v>
      </c>
      <c r="I2" s="99" t="s">
        <v>12</v>
      </c>
      <c r="J2" s="48"/>
      <c r="T2" s="18"/>
      <c r="V2" s="97" t="str">
        <f>Config!$C$12&amp;" - " &amp; Config!$D$12  &amp;" "&amp;Config!$E$12</f>
        <v>ENERO - MAYO 2022</v>
      </c>
      <c r="W2" s="98"/>
    </row>
    <row r="3" spans="1:23" ht="18" customHeight="1" x14ac:dyDescent="0.25">
      <c r="B3" s="100">
        <v>0</v>
      </c>
      <c r="C3" s="100">
        <v>6.1</v>
      </c>
      <c r="E3" s="100">
        <f>Config!$G$3</f>
        <v>37.5</v>
      </c>
      <c r="F3" s="100">
        <f>Config!$I$3</f>
        <v>41.7</v>
      </c>
      <c r="H3" s="100">
        <f>Config!$K$3</f>
        <v>90</v>
      </c>
      <c r="I3" s="100">
        <f>Config!$M$3</f>
        <v>100</v>
      </c>
      <c r="J3" s="48"/>
      <c r="T3" s="18"/>
      <c r="U3" s="18"/>
      <c r="V3" s="97" t="str">
        <f>Config!$B$3</f>
        <v xml:space="preserve">- POR MICROREDES : </v>
      </c>
    </row>
    <row r="4" spans="1:23" ht="18" customHeight="1" x14ac:dyDescent="0.25">
      <c r="G4" s="48"/>
      <c r="H4" s="48"/>
      <c r="I4" s="48"/>
      <c r="J4" s="48"/>
      <c r="T4" s="18"/>
      <c r="U4" s="18"/>
      <c r="V4" s="97" t="str">
        <f>Config!$B$4</f>
        <v>FUENTE: HISMINSA - Oficina de Gestión de la  Información Red. Moyobamba</v>
      </c>
    </row>
    <row r="5" spans="1:23" ht="18" customHeight="1" x14ac:dyDescent="0.25">
      <c r="A5" s="104" t="s">
        <v>234</v>
      </c>
      <c r="G5" s="48"/>
      <c r="H5" s="48"/>
      <c r="I5" s="48"/>
      <c r="J5" s="48"/>
      <c r="K5" s="105"/>
      <c r="T5" s="18"/>
      <c r="V5" s="106"/>
      <c r="W5" s="98"/>
    </row>
    <row r="6" spans="1:23" ht="48" customHeight="1" x14ac:dyDescent="0.25">
      <c r="A6" s="107" t="s">
        <v>2</v>
      </c>
      <c r="B6" s="108" t="s">
        <v>164</v>
      </c>
      <c r="C6" s="109" t="s">
        <v>71</v>
      </c>
      <c r="D6" s="108" t="s">
        <v>250</v>
      </c>
      <c r="E6" s="108"/>
      <c r="F6" s="110" t="s">
        <v>1</v>
      </c>
      <c r="G6" s="111" t="s">
        <v>10</v>
      </c>
      <c r="H6" s="112" t="str">
        <f>"DEFICIENTE &lt;= "&amp;$E$3</f>
        <v>DEFICIENTE &lt;= 37,5</v>
      </c>
      <c r="I6" s="112" t="str">
        <f>"PROCESO &gt; "&amp;$E$3&amp;"  -  &lt; "&amp;$F$3</f>
        <v>PROCESO &gt; 37,5  -  &lt; 41,7</v>
      </c>
      <c r="J6" s="112" t="str">
        <f>"OPTIMO &gt;= "&amp;$F$3</f>
        <v>OPTIMO &gt;= 41,7</v>
      </c>
      <c r="T6" s="18"/>
      <c r="V6" s="97" t="str">
        <f>A5</f>
        <v>RECIEN NACIDO  CON DOS  CONTROLES CRED</v>
      </c>
      <c r="W6" s="98"/>
    </row>
    <row r="7" spans="1:23" ht="18" customHeight="1" thickBot="1" x14ac:dyDescent="0.3">
      <c r="A7" s="118" t="str">
        <f>Config!$B$15</f>
        <v>RED</v>
      </c>
      <c r="B7" s="119">
        <f>SUM(B8:B16)</f>
        <v>3018</v>
      </c>
      <c r="C7" s="119">
        <f>SUM(C8:C16)</f>
        <v>1260</v>
      </c>
      <c r="D7" s="119">
        <f>SUM(D8:D16)</f>
        <v>773</v>
      </c>
      <c r="E7" s="119"/>
      <c r="F7" s="120">
        <f>Config!$C$9</f>
        <v>41.666666666666671</v>
      </c>
      <c r="G7" s="119">
        <f t="shared" ref="G7:G12" si="0">IFERROR(ROUND(D7*100/B7,2),0)</f>
        <v>25.61</v>
      </c>
      <c r="H7" s="121">
        <f t="shared" ref="H7:H16" si="1">IF(G7&lt;=$E$3,G7,"")</f>
        <v>25.61</v>
      </c>
      <c r="I7" s="121" t="str">
        <f t="shared" ref="I7:I16" si="2">IF(G7&gt;$E$3,IF(G7&lt;$F$3,G7,""),"")</f>
        <v/>
      </c>
      <c r="J7" s="119" t="str">
        <f t="shared" ref="J7:J16" si="3">IF(G7&gt;=$F$3,G7,"")</f>
        <v/>
      </c>
      <c r="T7" s="18"/>
      <c r="V7" s="122" t="str">
        <f>$V$1&amp;"  "&amp;V6&amp;"  "&amp;$V$3&amp;"  "&amp;$V$2</f>
        <v>RED. MOYOBAMBA:  RECIEN NACIDO  CON DOS  CONTROLES CRED  - POR MICROREDES :   ENERO - MAYO 2022</v>
      </c>
      <c r="W7" s="98"/>
    </row>
    <row r="8" spans="1:23" x14ac:dyDescent="0.25">
      <c r="A8" s="126" t="str">
        <f>Config!$B$16</f>
        <v>HOSP</v>
      </c>
      <c r="B8" s="127">
        <f>METAS!$AR$91</f>
        <v>0</v>
      </c>
      <c r="C8" s="127">
        <f>ROUNDUP((B8/12)*Config!$C$6,0)</f>
        <v>0</v>
      </c>
      <c r="D8" s="127">
        <f>ACUMULADO!$AT$4</f>
        <v>0</v>
      </c>
      <c r="E8" s="127"/>
      <c r="F8" s="128">
        <f>F7</f>
        <v>41.666666666666671</v>
      </c>
      <c r="G8" s="129">
        <f t="shared" si="0"/>
        <v>0</v>
      </c>
      <c r="H8" s="130">
        <f t="shared" si="1"/>
        <v>0</v>
      </c>
      <c r="I8" s="130" t="str">
        <f t="shared" si="2"/>
        <v/>
      </c>
      <c r="J8" s="131" t="str">
        <f t="shared" si="3"/>
        <v/>
      </c>
      <c r="T8" s="18"/>
      <c r="V8" s="97"/>
      <c r="W8" s="98"/>
    </row>
    <row r="9" spans="1:23" ht="18" customHeight="1" x14ac:dyDescent="0.25">
      <c r="A9" s="132" t="str">
        <f>Config!$B$17</f>
        <v>LLUI</v>
      </c>
      <c r="B9" s="127">
        <f>METAS!$AS$91</f>
        <v>1250</v>
      </c>
      <c r="C9" s="99">
        <f>ROUNDUP((B9/12)*Config!$C$6,0)</f>
        <v>521</v>
      </c>
      <c r="D9" s="127">
        <f>ACUMULADO!$AU$4</f>
        <v>325</v>
      </c>
      <c r="E9" s="99"/>
      <c r="F9" s="128">
        <f t="shared" ref="F9:F16" si="4">F8</f>
        <v>41.666666666666671</v>
      </c>
      <c r="G9" s="133">
        <f t="shared" si="0"/>
        <v>26</v>
      </c>
      <c r="H9" s="134">
        <f t="shared" si="1"/>
        <v>26</v>
      </c>
      <c r="I9" s="134" t="str">
        <f t="shared" si="2"/>
        <v/>
      </c>
      <c r="J9" s="135" t="str">
        <f t="shared" si="3"/>
        <v/>
      </c>
      <c r="T9" s="18"/>
      <c r="V9" s="97" t="str">
        <f>IF(G7&lt;=$E$3,"DEFICIENTE",IF(G7&gt;$E$3,IF(G7&lt;$F$3,"en PROCESO",IF(G7&gt;=$F$3,"OPTIMO",""))))</f>
        <v>DEFICIENTE</v>
      </c>
      <c r="W9" s="98"/>
    </row>
    <row r="10" spans="1:23" ht="18" customHeight="1" x14ac:dyDescent="0.25">
      <c r="A10" s="132" t="str">
        <f>Config!$B$18</f>
        <v>JERI</v>
      </c>
      <c r="B10" s="127">
        <f>METAS!$AT$91</f>
        <v>112</v>
      </c>
      <c r="C10" s="99">
        <f>ROUNDUP((B10/12)*Config!$C$6,0)</f>
        <v>47</v>
      </c>
      <c r="D10" s="127">
        <f>ACUMULADO!$AV$4</f>
        <v>33</v>
      </c>
      <c r="E10" s="99"/>
      <c r="F10" s="128">
        <f t="shared" si="4"/>
        <v>41.666666666666671</v>
      </c>
      <c r="G10" s="133">
        <f t="shared" si="0"/>
        <v>29.46</v>
      </c>
      <c r="H10" s="134">
        <f t="shared" si="1"/>
        <v>29.46</v>
      </c>
      <c r="I10" s="134" t="str">
        <f t="shared" si="2"/>
        <v/>
      </c>
      <c r="J10" s="135" t="str">
        <f t="shared" si="3"/>
        <v/>
      </c>
      <c r="T10" s="18"/>
      <c r="V10" s="105"/>
      <c r="W10" s="98"/>
    </row>
    <row r="11" spans="1:23" ht="18" customHeight="1" x14ac:dyDescent="0.25">
      <c r="A11" s="132" t="str">
        <f>Config!$B$19</f>
        <v>YANT</v>
      </c>
      <c r="B11" s="127">
        <f>METAS!$AU$91</f>
        <v>244</v>
      </c>
      <c r="C11" s="99">
        <f>ROUNDUP((B11/12)*Config!$C$6,0)</f>
        <v>102</v>
      </c>
      <c r="D11" s="127">
        <f>ACUMULADO!$AW$4</f>
        <v>67</v>
      </c>
      <c r="E11" s="99"/>
      <c r="F11" s="128">
        <f t="shared" si="4"/>
        <v>41.666666666666671</v>
      </c>
      <c r="G11" s="133">
        <f t="shared" si="0"/>
        <v>27.46</v>
      </c>
      <c r="H11" s="134">
        <f t="shared" si="1"/>
        <v>27.46</v>
      </c>
      <c r="I11" s="134" t="str">
        <f t="shared" si="2"/>
        <v/>
      </c>
      <c r="J11" s="135" t="str">
        <f t="shared" si="3"/>
        <v/>
      </c>
      <c r="T11" s="18"/>
      <c r="V11" s="105"/>
      <c r="W11" s="98"/>
    </row>
    <row r="12" spans="1:23" ht="18" customHeight="1" x14ac:dyDescent="0.25">
      <c r="A12" s="132" t="str">
        <f>Config!$B$20</f>
        <v>SORI</v>
      </c>
      <c r="B12" s="127">
        <f>METAS!$AV$91</f>
        <v>590</v>
      </c>
      <c r="C12" s="99">
        <f>ROUNDUP((B12/12)*Config!$C$6,0)</f>
        <v>246</v>
      </c>
      <c r="D12" s="127">
        <f>ACUMULADO!$AX$4</f>
        <v>147</v>
      </c>
      <c r="E12" s="99"/>
      <c r="F12" s="128">
        <f t="shared" si="4"/>
        <v>41.666666666666671</v>
      </c>
      <c r="G12" s="133">
        <f t="shared" si="0"/>
        <v>24.92</v>
      </c>
      <c r="H12" s="134">
        <f t="shared" si="1"/>
        <v>24.92</v>
      </c>
      <c r="I12" s="134" t="str">
        <f t="shared" si="2"/>
        <v/>
      </c>
      <c r="J12" s="135" t="str">
        <f t="shared" si="3"/>
        <v/>
      </c>
      <c r="T12" s="18"/>
      <c r="V12" s="105"/>
      <c r="W12" s="98"/>
    </row>
    <row r="13" spans="1:23" ht="18" customHeight="1" x14ac:dyDescent="0.25">
      <c r="A13" s="132" t="str">
        <f>Config!$B$21</f>
        <v>JEPE</v>
      </c>
      <c r="B13" s="127">
        <f>METAS!$AW$91</f>
        <v>220</v>
      </c>
      <c r="C13" s="99">
        <f>ROUNDUP((B13/12)*Config!$C$6,0)</f>
        <v>92</v>
      </c>
      <c r="D13" s="127">
        <f>ACUMULADO!$AY$4</f>
        <v>63</v>
      </c>
      <c r="E13" s="99"/>
      <c r="F13" s="128">
        <f t="shared" si="4"/>
        <v>41.666666666666671</v>
      </c>
      <c r="G13" s="133">
        <f>IFERROR(ROUND(D13*100/B13,2),0)</f>
        <v>28.64</v>
      </c>
      <c r="H13" s="134">
        <f t="shared" si="1"/>
        <v>28.64</v>
      </c>
      <c r="I13" s="134" t="str">
        <f t="shared" si="2"/>
        <v/>
      </c>
      <c r="J13" s="135" t="str">
        <f t="shared" si="3"/>
        <v/>
      </c>
      <c r="T13" s="18"/>
      <c r="W13" s="98"/>
    </row>
    <row r="14" spans="1:23" ht="18" customHeight="1" x14ac:dyDescent="0.25">
      <c r="A14" s="132" t="str">
        <f>Config!$B$22</f>
        <v>ROQU</v>
      </c>
      <c r="B14" s="127">
        <f>METAS!$AX$91</f>
        <v>227</v>
      </c>
      <c r="C14" s="99">
        <f>ROUNDUP((B14/12)*Config!$C$6,0)</f>
        <v>95</v>
      </c>
      <c r="D14" s="127">
        <f>ACUMULADO!$AZ$4</f>
        <v>34</v>
      </c>
      <c r="E14" s="99"/>
      <c r="F14" s="128">
        <f t="shared" si="4"/>
        <v>41.666666666666671</v>
      </c>
      <c r="G14" s="133">
        <f>IFERROR(ROUND(D14*100/B14,2),0)</f>
        <v>14.98</v>
      </c>
      <c r="H14" s="134">
        <f t="shared" si="1"/>
        <v>14.98</v>
      </c>
      <c r="I14" s="134" t="str">
        <f t="shared" si="2"/>
        <v/>
      </c>
      <c r="J14" s="135" t="str">
        <f t="shared" si="3"/>
        <v/>
      </c>
      <c r="T14" s="18"/>
      <c r="W14" s="98"/>
    </row>
    <row r="15" spans="1:23" ht="18" customHeight="1" x14ac:dyDescent="0.25">
      <c r="A15" s="132" t="str">
        <f>Config!$B$23</f>
        <v>CALZ</v>
      </c>
      <c r="B15" s="127">
        <f>METAS!$AY$91</f>
        <v>176</v>
      </c>
      <c r="C15" s="99">
        <f>ROUNDUP((B15/12)*Config!$C$6,0)</f>
        <v>74</v>
      </c>
      <c r="D15" s="127">
        <f>ACUMULADO!$BA$4</f>
        <v>37</v>
      </c>
      <c r="E15" s="99"/>
      <c r="F15" s="128">
        <f t="shared" si="4"/>
        <v>41.666666666666671</v>
      </c>
      <c r="G15" s="133">
        <f t="shared" ref="G15" si="5">IFERROR(ROUND(D15*100/B15,2),0)</f>
        <v>21.02</v>
      </c>
      <c r="H15" s="134">
        <f t="shared" si="1"/>
        <v>21.02</v>
      </c>
      <c r="I15" s="134" t="str">
        <f t="shared" si="2"/>
        <v/>
      </c>
      <c r="J15" s="135" t="str">
        <f t="shared" si="3"/>
        <v/>
      </c>
      <c r="T15" s="18"/>
      <c r="U15" s="18"/>
    </row>
    <row r="16" spans="1:23" ht="18" customHeight="1" x14ac:dyDescent="0.25">
      <c r="A16" s="132" t="str">
        <f>Config!$B$24</f>
        <v>PUEB</v>
      </c>
      <c r="B16" s="127">
        <f>METAS!$AZ$91</f>
        <v>199</v>
      </c>
      <c r="C16" s="99">
        <f>ROUNDUP((B16/12)*Config!$C$6,0)</f>
        <v>83</v>
      </c>
      <c r="D16" s="127">
        <f>ACUMULADO!$BB$4</f>
        <v>67</v>
      </c>
      <c r="E16" s="99"/>
      <c r="F16" s="128">
        <f t="shared" si="4"/>
        <v>41.666666666666671</v>
      </c>
      <c r="G16" s="133">
        <f t="shared" ref="G16" si="6">IFERROR(ROUND(D16*100/B16,2),0)</f>
        <v>33.67</v>
      </c>
      <c r="H16" s="134">
        <f t="shared" si="1"/>
        <v>33.67</v>
      </c>
      <c r="I16" s="134" t="str">
        <f t="shared" si="2"/>
        <v/>
      </c>
      <c r="J16" s="135" t="str">
        <f t="shared" si="3"/>
        <v/>
      </c>
      <c r="T16" s="18"/>
      <c r="V16" s="136"/>
      <c r="W16" s="98"/>
    </row>
    <row r="17" spans="1:23" ht="18" customHeight="1" x14ac:dyDescent="0.25">
      <c r="C17" s="48"/>
      <c r="D17" s="6"/>
      <c r="E17" s="48"/>
      <c r="F17" s="48"/>
      <c r="G17" s="48"/>
      <c r="H17" s="48"/>
      <c r="I17" s="48"/>
      <c r="J17" s="48"/>
      <c r="T17" s="18"/>
      <c r="U17" s="18"/>
    </row>
    <row r="18" spans="1:23" ht="18" customHeight="1" x14ac:dyDescent="0.25">
      <c r="C18" s="48"/>
      <c r="D18" s="48"/>
      <c r="E18" s="48"/>
      <c r="F18" s="48"/>
      <c r="G18" s="48"/>
      <c r="H18" s="48"/>
      <c r="I18" s="48"/>
      <c r="J18" s="48"/>
      <c r="T18" s="18"/>
      <c r="U18" s="18"/>
    </row>
    <row r="19" spans="1:23" ht="18" customHeight="1" x14ac:dyDescent="0.25">
      <c r="C19" s="48"/>
      <c r="D19" s="48"/>
      <c r="E19" s="48"/>
      <c r="F19" s="48"/>
      <c r="G19" s="48"/>
      <c r="H19" s="48"/>
      <c r="I19" s="48"/>
      <c r="J19" s="48"/>
      <c r="T19" s="18"/>
      <c r="U19" s="18"/>
    </row>
    <row r="20" spans="1:23" ht="18" customHeight="1" x14ac:dyDescent="0.25">
      <c r="C20" s="48"/>
      <c r="D20" s="48"/>
      <c r="E20" s="48"/>
      <c r="F20" s="48"/>
      <c r="G20" s="48"/>
      <c r="H20" s="48"/>
      <c r="I20" s="48"/>
      <c r="J20" s="48"/>
      <c r="T20" s="18"/>
      <c r="U20" s="18"/>
    </row>
    <row r="21" spans="1:23" ht="18" customHeight="1" x14ac:dyDescent="0.25">
      <c r="C21" s="48"/>
      <c r="D21" s="48"/>
      <c r="E21" s="48"/>
      <c r="F21" s="48"/>
      <c r="G21" s="48"/>
      <c r="H21" s="48"/>
      <c r="I21" s="48"/>
      <c r="J21" s="48"/>
      <c r="T21" s="18"/>
      <c r="U21" s="18"/>
    </row>
    <row r="22" spans="1:23" ht="18" customHeight="1" x14ac:dyDescent="0.25">
      <c r="A22" s="48"/>
      <c r="C22" s="48"/>
      <c r="D22" s="48"/>
      <c r="E22" s="48"/>
      <c r="F22" s="48"/>
      <c r="G22" s="48"/>
      <c r="H22" s="48"/>
      <c r="I22" s="48"/>
      <c r="J22" s="48"/>
      <c r="T22" s="18"/>
      <c r="V22" s="105"/>
      <c r="W22" s="98"/>
    </row>
    <row r="23" spans="1:23" ht="18" customHeight="1" x14ac:dyDescent="0.25">
      <c r="A23" s="48"/>
      <c r="C23" s="48"/>
      <c r="D23" s="48"/>
      <c r="E23" s="48"/>
      <c r="F23" s="48"/>
      <c r="G23" s="48"/>
      <c r="H23" s="48"/>
      <c r="I23" s="48"/>
      <c r="J23" s="48"/>
      <c r="T23" s="18"/>
      <c r="V23" s="97" t="str">
        <f>A26</f>
        <v>% DE RECIEN NACIDOS CON BAJO PESO AL NACER</v>
      </c>
      <c r="W23" s="98"/>
    </row>
    <row r="24" spans="1:23" ht="18" customHeight="1" x14ac:dyDescent="0.25">
      <c r="A24" s="48"/>
      <c r="C24" s="48"/>
      <c r="D24" s="48"/>
      <c r="E24" s="48"/>
      <c r="F24" s="48"/>
      <c r="G24" s="48"/>
      <c r="H24" s="48"/>
      <c r="I24" s="48"/>
      <c r="J24" s="48"/>
      <c r="T24" s="18"/>
      <c r="U24" s="18"/>
      <c r="V24" s="137" t="str">
        <f>$V$1&amp;"  "&amp;V23&amp;"  "&amp;$V$3&amp;"  "&amp;$V$2</f>
        <v>RED. MOYOBAMBA:  % DE RECIEN NACIDOS CON BAJO PESO AL NACER  - POR MICROREDES :   ENERO - MAYO 2022</v>
      </c>
    </row>
    <row r="25" spans="1:23" ht="18" customHeight="1" x14ac:dyDescent="0.25">
      <c r="G25" s="48"/>
      <c r="H25" s="48"/>
      <c r="I25" s="48"/>
      <c r="J25" s="48"/>
      <c r="T25" s="18"/>
      <c r="U25" s="18"/>
      <c r="V25" s="97"/>
    </row>
    <row r="26" spans="1:23" ht="18" customHeight="1" x14ac:dyDescent="0.25">
      <c r="A26" s="104" t="str">
        <f>METAS!B92</f>
        <v>% DE RECIEN NACIDOS CON BAJO PESO AL NACER</v>
      </c>
      <c r="G26" s="48"/>
      <c r="H26" s="48"/>
      <c r="I26" s="48"/>
      <c r="J26" s="48"/>
      <c r="K26" s="105"/>
      <c r="T26" s="18"/>
      <c r="V26" s="97"/>
      <c r="W26" s="98"/>
    </row>
    <row r="27" spans="1:23" ht="48" customHeight="1" x14ac:dyDescent="0.25">
      <c r="A27" s="107" t="s">
        <v>2</v>
      </c>
      <c r="B27" s="108" t="s">
        <v>164</v>
      </c>
      <c r="C27" s="109" t="s">
        <v>71</v>
      </c>
      <c r="D27" s="108" t="s">
        <v>252</v>
      </c>
      <c r="E27" s="108" t="s">
        <v>1</v>
      </c>
      <c r="F27" s="110"/>
      <c r="G27" s="111" t="s">
        <v>10</v>
      </c>
      <c r="H27" s="112" t="str">
        <f>"DEFICIENTE &gt;= "&amp;$C$3</f>
        <v>DEFICIENTE &gt;= 6,1</v>
      </c>
      <c r="I27" s="112" t="str">
        <f>"PROCESO &gt; "&amp;$B$3&amp;"  -  &lt; "&amp;$C$3</f>
        <v>PROCESO &gt; 0  -  &lt; 6,1</v>
      </c>
      <c r="J27" s="112" t="str">
        <f>"OPTIMO &lt;= "&amp;$B$3</f>
        <v>OPTIMO &lt;= 0</v>
      </c>
      <c r="T27" s="18"/>
      <c r="V27" s="105"/>
      <c r="W27" s="98"/>
    </row>
    <row r="28" spans="1:23" ht="18" customHeight="1" thickBot="1" x14ac:dyDescent="0.3">
      <c r="A28" s="118" t="str">
        <f>Config!$B$15</f>
        <v>RED</v>
      </c>
      <c r="B28" s="119">
        <f>SUM(B29:B37)</f>
        <v>3018</v>
      </c>
      <c r="C28" s="119">
        <f>SUM(C29:C37)</f>
        <v>1260</v>
      </c>
      <c r="D28" s="119">
        <f>SUM(D29:D37)</f>
        <v>58</v>
      </c>
      <c r="E28" s="119">
        <f>Config!$C$9</f>
        <v>41.666666666666671</v>
      </c>
      <c r="F28" s="120"/>
      <c r="G28" s="119">
        <f t="shared" ref="G28:G33" si="7">IFERROR(ROUND(D28*100/B28,2),0)</f>
        <v>1.92</v>
      </c>
      <c r="H28" s="121" t="str">
        <f>IF(G28&gt;=$C$3,G28,"")</f>
        <v/>
      </c>
      <c r="I28" s="121">
        <f>IF(G28&gt;$B$3,IF(G28&lt;$C$3,G28,""),"")</f>
        <v>1.92</v>
      </c>
      <c r="J28" s="121" t="str">
        <f>IF(G28&lt;=$B$3,G28,"")</f>
        <v/>
      </c>
      <c r="T28" s="18"/>
      <c r="V28" s="105"/>
      <c r="W28" s="98"/>
    </row>
    <row r="29" spans="1:23" ht="18" customHeight="1" x14ac:dyDescent="0.25">
      <c r="A29" s="126" t="str">
        <f>Config!$B$16</f>
        <v>HOSP</v>
      </c>
      <c r="B29" s="127">
        <f>METAS!$AR$92</f>
        <v>0</v>
      </c>
      <c r="C29" s="127">
        <f>ROUNDUP((B29/12)*Config!$C$6,0)</f>
        <v>0</v>
      </c>
      <c r="D29" s="127">
        <f>ACUMULADO!$AT$5</f>
        <v>22</v>
      </c>
      <c r="E29" s="128">
        <f>E28</f>
        <v>41.666666666666671</v>
      </c>
      <c r="F29" s="128"/>
      <c r="G29" s="129">
        <f t="shared" si="7"/>
        <v>0</v>
      </c>
      <c r="H29" s="134" t="str">
        <f>IF(G29&gt;=$C$3,G29,"")</f>
        <v/>
      </c>
      <c r="I29" s="134" t="str">
        <f>IF(G29&gt;$B$3,IF(G29&lt;$C$3,G29,""),"")</f>
        <v/>
      </c>
      <c r="J29" s="134">
        <f>IF(G29&lt;=$B$3,G29,"")</f>
        <v>0</v>
      </c>
      <c r="T29" s="18"/>
      <c r="V29" s="105"/>
      <c r="W29" s="98"/>
    </row>
    <row r="30" spans="1:23" ht="18" customHeight="1" x14ac:dyDescent="0.25">
      <c r="A30" s="132" t="str">
        <f>Config!$B$17</f>
        <v>LLUI</v>
      </c>
      <c r="B30" s="127">
        <f>METAS!$AS$92</f>
        <v>1250</v>
      </c>
      <c r="C30" s="99">
        <f>ROUNDUP((B30/12)*Config!$C$6,0)</f>
        <v>521</v>
      </c>
      <c r="D30" s="127">
        <f>ACUMULADO!$AU$5</f>
        <v>20</v>
      </c>
      <c r="E30" s="128">
        <f t="shared" ref="E30:E37" si="8">E29</f>
        <v>41.666666666666671</v>
      </c>
      <c r="F30" s="138"/>
      <c r="G30" s="133">
        <f t="shared" si="7"/>
        <v>1.6</v>
      </c>
      <c r="H30" s="134" t="str">
        <f t="shared" ref="H30:H36" si="9">IF(G30&gt;=$C$3,G30,"")</f>
        <v/>
      </c>
      <c r="I30" s="134">
        <f t="shared" ref="I30:I36" si="10">IF(G30&gt;$B$3,IF(G30&lt;$C$3,G30,""),"")</f>
        <v>1.6</v>
      </c>
      <c r="J30" s="134" t="str">
        <f t="shared" ref="J30:J36" si="11">IF(G30&lt;=$B$3,G30,"")</f>
        <v/>
      </c>
      <c r="T30" s="18"/>
      <c r="V30" s="105"/>
      <c r="W30" s="98"/>
    </row>
    <row r="31" spans="1:23" ht="18" customHeight="1" x14ac:dyDescent="0.25">
      <c r="A31" s="132" t="str">
        <f>Config!$B$18</f>
        <v>JERI</v>
      </c>
      <c r="B31" s="127">
        <f>METAS!$AT$92</f>
        <v>112</v>
      </c>
      <c r="C31" s="99">
        <f>ROUNDUP((B31/12)*Config!$C$6,0)</f>
        <v>47</v>
      </c>
      <c r="D31" s="127">
        <f>ACUMULADO!$AV$5</f>
        <v>0</v>
      </c>
      <c r="E31" s="128">
        <f t="shared" si="8"/>
        <v>41.666666666666671</v>
      </c>
      <c r="F31" s="138"/>
      <c r="G31" s="133">
        <f t="shared" si="7"/>
        <v>0</v>
      </c>
      <c r="H31" s="134" t="str">
        <f t="shared" si="9"/>
        <v/>
      </c>
      <c r="I31" s="134" t="str">
        <f t="shared" si="10"/>
        <v/>
      </c>
      <c r="J31" s="134">
        <f t="shared" si="11"/>
        <v>0</v>
      </c>
      <c r="T31" s="18"/>
      <c r="V31" s="105"/>
      <c r="W31" s="98"/>
    </row>
    <row r="32" spans="1:23" ht="18" customHeight="1" x14ac:dyDescent="0.25">
      <c r="A32" s="132" t="str">
        <f>Config!$B$19</f>
        <v>YANT</v>
      </c>
      <c r="B32" s="127">
        <f>METAS!$AU$92</f>
        <v>244</v>
      </c>
      <c r="C32" s="99">
        <f>ROUNDUP((B32/12)*Config!$C$6,0)</f>
        <v>102</v>
      </c>
      <c r="D32" s="127">
        <f>ACUMULADO!$AW$5</f>
        <v>0</v>
      </c>
      <c r="E32" s="128">
        <f t="shared" si="8"/>
        <v>41.666666666666671</v>
      </c>
      <c r="F32" s="138"/>
      <c r="G32" s="133">
        <f t="shared" si="7"/>
        <v>0</v>
      </c>
      <c r="H32" s="134" t="str">
        <f t="shared" si="9"/>
        <v/>
      </c>
      <c r="I32" s="134" t="str">
        <f t="shared" si="10"/>
        <v/>
      </c>
      <c r="J32" s="134">
        <f t="shared" si="11"/>
        <v>0</v>
      </c>
      <c r="T32" s="18"/>
      <c r="V32" s="105"/>
      <c r="W32" s="98"/>
    </row>
    <row r="33" spans="1:25" ht="18" customHeight="1" x14ac:dyDescent="0.25">
      <c r="A33" s="132" t="str">
        <f>Config!$B$20</f>
        <v>SORI</v>
      </c>
      <c r="B33" s="127">
        <f>METAS!$AV$92</f>
        <v>590</v>
      </c>
      <c r="C33" s="99">
        <f>ROUNDUP((B33/12)*Config!$C$6,0)</f>
        <v>246</v>
      </c>
      <c r="D33" s="127">
        <f>ACUMULADO!$AX$5</f>
        <v>7</v>
      </c>
      <c r="E33" s="128">
        <f t="shared" si="8"/>
        <v>41.666666666666671</v>
      </c>
      <c r="F33" s="138"/>
      <c r="G33" s="133">
        <f t="shared" si="7"/>
        <v>1.19</v>
      </c>
      <c r="H33" s="134" t="str">
        <f t="shared" si="9"/>
        <v/>
      </c>
      <c r="I33" s="134">
        <f t="shared" si="10"/>
        <v>1.19</v>
      </c>
      <c r="J33" s="134" t="str">
        <f t="shared" si="11"/>
        <v/>
      </c>
      <c r="T33" s="18"/>
      <c r="V33" s="105"/>
      <c r="W33" s="98"/>
    </row>
    <row r="34" spans="1:25" ht="18" customHeight="1" x14ac:dyDescent="0.25">
      <c r="A34" s="132" t="str">
        <f>Config!$B$21</f>
        <v>JEPE</v>
      </c>
      <c r="B34" s="127">
        <f>METAS!$AW$92</f>
        <v>220</v>
      </c>
      <c r="C34" s="99">
        <f>ROUNDUP((B34/12)*Config!$C$6,0)</f>
        <v>92</v>
      </c>
      <c r="D34" s="127">
        <f>ACUMULADO!$AY$5</f>
        <v>0</v>
      </c>
      <c r="E34" s="128">
        <f t="shared" si="8"/>
        <v>41.666666666666671</v>
      </c>
      <c r="F34" s="138"/>
      <c r="G34" s="133">
        <f>IFERROR(ROUND(D34*100/B34,2),0)</f>
        <v>0</v>
      </c>
      <c r="H34" s="134" t="str">
        <f t="shared" si="9"/>
        <v/>
      </c>
      <c r="I34" s="134" t="str">
        <f t="shared" si="10"/>
        <v/>
      </c>
      <c r="J34" s="134">
        <f t="shared" si="11"/>
        <v>0</v>
      </c>
      <c r="T34" s="18"/>
      <c r="W34" s="98"/>
    </row>
    <row r="35" spans="1:25" ht="18" customHeight="1" x14ac:dyDescent="0.25">
      <c r="A35" s="132" t="str">
        <f>Config!$B$22</f>
        <v>ROQU</v>
      </c>
      <c r="B35" s="127">
        <f>METAS!$AX$92</f>
        <v>227</v>
      </c>
      <c r="C35" s="99">
        <f>ROUNDUP((B35/12)*Config!$C$6,0)</f>
        <v>95</v>
      </c>
      <c r="D35" s="127">
        <f>ACUMULADO!$AZ$5</f>
        <v>8</v>
      </c>
      <c r="E35" s="128">
        <f t="shared" si="8"/>
        <v>41.666666666666671</v>
      </c>
      <c r="F35" s="138"/>
      <c r="G35" s="133">
        <f>IFERROR(ROUND(D35*100/B35,2),0)</f>
        <v>3.52</v>
      </c>
      <c r="H35" s="134" t="str">
        <f t="shared" si="9"/>
        <v/>
      </c>
      <c r="I35" s="134">
        <f t="shared" si="10"/>
        <v>3.52</v>
      </c>
      <c r="J35" s="134" t="str">
        <f t="shared" si="11"/>
        <v/>
      </c>
      <c r="T35" s="18"/>
      <c r="W35" s="98"/>
    </row>
    <row r="36" spans="1:25" ht="18" customHeight="1" x14ac:dyDescent="0.25">
      <c r="A36" s="132" t="str">
        <f>Config!$B$23</f>
        <v>CALZ</v>
      </c>
      <c r="B36" s="127">
        <f>METAS!$AY$92</f>
        <v>176</v>
      </c>
      <c r="C36" s="99">
        <f>ROUNDUP((B36/12)*Config!$C$6,0)</f>
        <v>74</v>
      </c>
      <c r="D36" s="127">
        <f>ACUMULADO!$BA$5</f>
        <v>1</v>
      </c>
      <c r="E36" s="128">
        <f t="shared" si="8"/>
        <v>41.666666666666671</v>
      </c>
      <c r="F36" s="138"/>
      <c r="G36" s="133">
        <f t="shared" ref="G36" si="12">IFERROR(ROUND(D36*100/B36,2),0)</f>
        <v>0.56999999999999995</v>
      </c>
      <c r="H36" s="134" t="str">
        <f t="shared" si="9"/>
        <v/>
      </c>
      <c r="I36" s="134">
        <f t="shared" si="10"/>
        <v>0.56999999999999995</v>
      </c>
      <c r="J36" s="134" t="str">
        <f t="shared" si="11"/>
        <v/>
      </c>
      <c r="T36" s="18"/>
      <c r="U36" s="18"/>
    </row>
    <row r="37" spans="1:25" ht="18" customHeight="1" x14ac:dyDescent="0.25">
      <c r="A37" s="132" t="str">
        <f>Config!$B$24</f>
        <v>PUEB</v>
      </c>
      <c r="B37" s="127">
        <f>METAS!$AZ$92</f>
        <v>199</v>
      </c>
      <c r="C37" s="99">
        <f>ROUNDUP((B37/12)*Config!$C$6,0)</f>
        <v>83</v>
      </c>
      <c r="D37" s="127">
        <f>ACUMULADO!$BB$5</f>
        <v>0</v>
      </c>
      <c r="E37" s="128">
        <f t="shared" si="8"/>
        <v>41.666666666666671</v>
      </c>
      <c r="F37" s="138"/>
      <c r="G37" s="133">
        <f>IFERROR(ROUND(D37*100/B37,2),0)</f>
        <v>0</v>
      </c>
      <c r="H37" s="134" t="str">
        <f>IF(G37&gt;=$C$3,G37,"")</f>
        <v/>
      </c>
      <c r="I37" s="134" t="str">
        <f>IF(G37&gt;$B$3,IF(G37&lt;$C$3,G37,""),"")</f>
        <v/>
      </c>
      <c r="J37" s="134">
        <f>IF(G37&lt;=$B$3,G37,"")</f>
        <v>0</v>
      </c>
      <c r="T37" s="18"/>
      <c r="V37" s="136"/>
      <c r="W37" s="98"/>
    </row>
    <row r="38" spans="1:25" ht="18" customHeight="1" x14ac:dyDescent="0.25">
      <c r="C38" s="48"/>
      <c r="D38" s="6"/>
      <c r="E38" s="48"/>
      <c r="F38" s="48"/>
      <c r="G38" s="48"/>
      <c r="H38" s="48"/>
      <c r="I38" s="48"/>
      <c r="J38" s="48"/>
      <c r="T38" s="18"/>
      <c r="U38" s="18"/>
    </row>
    <row r="39" spans="1:25" ht="18" customHeight="1" x14ac:dyDescent="0.25">
      <c r="C39" s="48"/>
      <c r="D39" s="48"/>
      <c r="E39" s="48"/>
      <c r="F39" s="48"/>
      <c r="G39" s="48"/>
      <c r="H39" s="48"/>
      <c r="I39" s="48"/>
      <c r="J39" s="48"/>
      <c r="T39" s="18"/>
      <c r="U39" s="18"/>
    </row>
    <row r="40" spans="1:25" ht="18" customHeight="1" x14ac:dyDescent="0.25">
      <c r="C40" s="48"/>
      <c r="D40" s="48"/>
      <c r="E40" s="48"/>
      <c r="F40" s="48"/>
      <c r="G40" s="48"/>
      <c r="H40" s="48"/>
      <c r="I40" s="48"/>
      <c r="J40" s="48"/>
      <c r="T40" s="18"/>
      <c r="U40" s="18"/>
    </row>
    <row r="41" spans="1:25" ht="18" customHeight="1" x14ac:dyDescent="0.25">
      <c r="C41" s="48"/>
      <c r="D41" s="48"/>
      <c r="E41" s="48"/>
      <c r="F41" s="48"/>
      <c r="G41" s="48"/>
      <c r="H41" s="48"/>
      <c r="I41" s="48"/>
      <c r="J41" s="48"/>
      <c r="T41" s="18"/>
      <c r="U41" s="18"/>
    </row>
    <row r="42" spans="1:25" ht="18" customHeight="1" x14ac:dyDescent="0.25">
      <c r="G42" s="48"/>
      <c r="H42" s="48"/>
      <c r="I42" s="48"/>
      <c r="J42" s="48"/>
      <c r="K42" s="105"/>
      <c r="T42" s="18"/>
      <c r="W42" s="98"/>
    </row>
    <row r="43" spans="1:25" ht="18" customHeight="1" x14ac:dyDescent="0.25">
      <c r="A43" s="104" t="str">
        <f>METAS!B93</f>
        <v>% DE RECIEN NACIDOS CON PREMATURIDAD</v>
      </c>
      <c r="G43" s="48"/>
      <c r="H43" s="48"/>
      <c r="I43" s="48"/>
      <c r="J43" s="48"/>
      <c r="T43" s="18"/>
      <c r="V43" s="97" t="str">
        <f>A43</f>
        <v>% DE RECIEN NACIDOS CON PREMATURIDAD</v>
      </c>
      <c r="W43" s="98"/>
      <c r="Y43" s="36"/>
    </row>
    <row r="44" spans="1:25" ht="48" customHeight="1" x14ac:dyDescent="0.25">
      <c r="A44" s="107" t="s">
        <v>2</v>
      </c>
      <c r="B44" s="108" t="s">
        <v>164</v>
      </c>
      <c r="C44" s="109" t="s">
        <v>71</v>
      </c>
      <c r="D44" s="108" t="s">
        <v>253</v>
      </c>
      <c r="E44" s="108" t="s">
        <v>1</v>
      </c>
      <c r="F44" s="110"/>
      <c r="G44" s="111" t="s">
        <v>10</v>
      </c>
      <c r="H44" s="112" t="str">
        <f>"DEFICIENTE &gt;= "&amp;$C$3</f>
        <v>DEFICIENTE &gt;= 6,1</v>
      </c>
      <c r="I44" s="112" t="str">
        <f>"PROCESO &gt; "&amp;$B$3&amp;"  -  &lt; "&amp;$C$3</f>
        <v>PROCESO &gt; 0  -  &lt; 6,1</v>
      </c>
      <c r="J44" s="112" t="str">
        <f>"OPTIMO &lt;= "&amp;$B$3</f>
        <v>OPTIMO &lt;= 0</v>
      </c>
      <c r="T44" s="18"/>
      <c r="V44" s="137" t="str">
        <f>$V$1&amp;"  "&amp;V43&amp;"  "&amp;$V$3&amp;"  "&amp;$V$2</f>
        <v>RED. MOYOBAMBA:  % DE RECIEN NACIDOS CON PREMATURIDAD  - POR MICROREDES :   ENERO - MAYO 2022</v>
      </c>
      <c r="W44" s="98"/>
    </row>
    <row r="45" spans="1:25" ht="18" customHeight="1" thickBot="1" x14ac:dyDescent="0.3">
      <c r="A45" s="118" t="str">
        <f>Config!$B$15</f>
        <v>RED</v>
      </c>
      <c r="B45" s="119">
        <f>SUM(B46:B54)</f>
        <v>3018</v>
      </c>
      <c r="C45" s="119">
        <f>SUM(C46:C54)</f>
        <v>1260</v>
      </c>
      <c r="D45" s="119">
        <f>SUM(D46:D54)</f>
        <v>84</v>
      </c>
      <c r="E45" s="119">
        <f>Config!$C$9</f>
        <v>41.666666666666671</v>
      </c>
      <c r="F45" s="120"/>
      <c r="G45" s="119">
        <f t="shared" ref="G45:G54" si="13">IFERROR(ROUND(D45*100/B45,2),0)</f>
        <v>2.78</v>
      </c>
      <c r="H45" s="121" t="str">
        <f>IF(G45&gt;=$C$3,G45,"")</f>
        <v/>
      </c>
      <c r="I45" s="121">
        <f>IF(G45&gt;$B$3,IF(G45&lt;$C$3,G45,""),"")</f>
        <v>2.78</v>
      </c>
      <c r="J45" s="121" t="str">
        <f>IF(G45&lt;=$B$3,G45,"")</f>
        <v/>
      </c>
      <c r="T45" s="18"/>
      <c r="V45" s="97"/>
      <c r="W45" s="98"/>
    </row>
    <row r="46" spans="1:25" ht="18" customHeight="1" x14ac:dyDescent="0.25">
      <c r="A46" s="126" t="str">
        <f>Config!$B$16</f>
        <v>HOSP</v>
      </c>
      <c r="B46" s="127">
        <f>METAS!$AR$93</f>
        <v>0</v>
      </c>
      <c r="C46" s="127">
        <f>ROUNDUP((B46/12)*Config!$C$6,0)</f>
        <v>0</v>
      </c>
      <c r="D46" s="127">
        <f>ACUMULADO!$AT$6</f>
        <v>43</v>
      </c>
      <c r="E46" s="128">
        <f>E45</f>
        <v>41.666666666666671</v>
      </c>
      <c r="F46" s="128"/>
      <c r="G46" s="129">
        <f t="shared" si="13"/>
        <v>0</v>
      </c>
      <c r="H46" s="134" t="str">
        <f>IF(G46&gt;=$C$3,G46,"")</f>
        <v/>
      </c>
      <c r="I46" s="134" t="str">
        <f>IF(G46&gt;$B$3,IF(G46&lt;$C$3,G46,""),"")</f>
        <v/>
      </c>
      <c r="J46" s="134">
        <f>IF(G46&lt;=$B$3,G46,"")</f>
        <v>0</v>
      </c>
      <c r="T46" s="18"/>
      <c r="V46" s="97"/>
      <c r="W46" s="98"/>
    </row>
    <row r="47" spans="1:25" ht="18" customHeight="1" x14ac:dyDescent="0.25">
      <c r="A47" s="132" t="str">
        <f>Config!$B$17</f>
        <v>LLUI</v>
      </c>
      <c r="B47" s="127">
        <f>METAS!$AS$93</f>
        <v>1250</v>
      </c>
      <c r="C47" s="99">
        <f>ROUNDUP((B47/12)*Config!$C$6,0)</f>
        <v>521</v>
      </c>
      <c r="D47" s="127">
        <f>ACUMULADO!$AU$6</f>
        <v>12</v>
      </c>
      <c r="E47" s="128">
        <f t="shared" ref="E47:E54" si="14">E46</f>
        <v>41.666666666666671</v>
      </c>
      <c r="F47" s="138"/>
      <c r="G47" s="133">
        <f t="shared" si="13"/>
        <v>0.96</v>
      </c>
      <c r="H47" s="134" t="str">
        <f t="shared" ref="H47:H53" si="15">IF(G47&gt;=$C$3,G47,"")</f>
        <v/>
      </c>
      <c r="I47" s="134">
        <f t="shared" ref="I47:I53" si="16">IF(G47&gt;$B$3,IF(G47&lt;$C$3,G47,""),"")</f>
        <v>0.96</v>
      </c>
      <c r="J47" s="134" t="str">
        <f t="shared" ref="J47:J53" si="17">IF(G47&lt;=$B$3,G47,"")</f>
        <v/>
      </c>
      <c r="T47" s="18"/>
      <c r="V47" s="97"/>
      <c r="W47" s="98"/>
    </row>
    <row r="48" spans="1:25" ht="18" customHeight="1" x14ac:dyDescent="0.25">
      <c r="A48" s="132" t="str">
        <f>Config!$B$18</f>
        <v>JERI</v>
      </c>
      <c r="B48" s="127">
        <f>METAS!$AT$93</f>
        <v>112</v>
      </c>
      <c r="C48" s="99">
        <f>ROUNDUP((B48/12)*Config!$C$6,0)</f>
        <v>47</v>
      </c>
      <c r="D48" s="127">
        <f>ACUMULADO!$AV$6</f>
        <v>0</v>
      </c>
      <c r="E48" s="128">
        <f t="shared" si="14"/>
        <v>41.666666666666671</v>
      </c>
      <c r="F48" s="138"/>
      <c r="G48" s="133">
        <f t="shared" si="13"/>
        <v>0</v>
      </c>
      <c r="H48" s="134" t="str">
        <f t="shared" si="15"/>
        <v/>
      </c>
      <c r="I48" s="134" t="str">
        <f t="shared" si="16"/>
        <v/>
      </c>
      <c r="J48" s="134">
        <f t="shared" si="17"/>
        <v>0</v>
      </c>
      <c r="T48" s="18"/>
      <c r="V48" s="105"/>
      <c r="W48" s="98"/>
    </row>
    <row r="49" spans="1:23" ht="18" customHeight="1" x14ac:dyDescent="0.25">
      <c r="A49" s="132" t="str">
        <f>Config!$B$19</f>
        <v>YANT</v>
      </c>
      <c r="B49" s="127">
        <f>METAS!$AU$93</f>
        <v>244</v>
      </c>
      <c r="C49" s="99">
        <f>ROUNDUP((B49/12)*Config!$C$6,0)</f>
        <v>102</v>
      </c>
      <c r="D49" s="127">
        <f>ACUMULADO!$AW$6</f>
        <v>0</v>
      </c>
      <c r="E49" s="128">
        <f t="shared" si="14"/>
        <v>41.666666666666671</v>
      </c>
      <c r="F49" s="138"/>
      <c r="G49" s="133">
        <f t="shared" si="13"/>
        <v>0</v>
      </c>
      <c r="H49" s="134" t="str">
        <f t="shared" si="15"/>
        <v/>
      </c>
      <c r="I49" s="134" t="str">
        <f t="shared" si="16"/>
        <v/>
      </c>
      <c r="J49" s="134">
        <f t="shared" si="17"/>
        <v>0</v>
      </c>
      <c r="T49" s="18"/>
      <c r="V49" s="105"/>
      <c r="W49" s="98"/>
    </row>
    <row r="50" spans="1:23" ht="18" customHeight="1" x14ac:dyDescent="0.25">
      <c r="A50" s="132" t="str">
        <f>Config!$B$20</f>
        <v>SORI</v>
      </c>
      <c r="B50" s="127">
        <f>METAS!$AV$93</f>
        <v>590</v>
      </c>
      <c r="C50" s="99">
        <f>ROUNDUP((B50/12)*Config!$C$6,0)</f>
        <v>246</v>
      </c>
      <c r="D50" s="127">
        <f>ACUMULADO!$AX$6</f>
        <v>10</v>
      </c>
      <c r="E50" s="128">
        <f t="shared" si="14"/>
        <v>41.666666666666671</v>
      </c>
      <c r="F50" s="138"/>
      <c r="G50" s="133">
        <f t="shared" si="13"/>
        <v>1.69</v>
      </c>
      <c r="H50" s="134" t="str">
        <f t="shared" si="15"/>
        <v/>
      </c>
      <c r="I50" s="134">
        <f t="shared" si="16"/>
        <v>1.69</v>
      </c>
      <c r="J50" s="134" t="str">
        <f t="shared" si="17"/>
        <v/>
      </c>
      <c r="T50" s="18"/>
      <c r="U50" s="18"/>
      <c r="V50" s="105"/>
    </row>
    <row r="51" spans="1:23" ht="18" customHeight="1" x14ac:dyDescent="0.25">
      <c r="A51" s="132" t="str">
        <f>Config!$B$21</f>
        <v>JEPE</v>
      </c>
      <c r="B51" s="127">
        <f>METAS!$AW$93</f>
        <v>220</v>
      </c>
      <c r="C51" s="99">
        <f>ROUNDUP((B51/12)*Config!$C$6,0)</f>
        <v>92</v>
      </c>
      <c r="D51" s="127">
        <f>ACUMULADO!$AY$6</f>
        <v>10</v>
      </c>
      <c r="E51" s="128">
        <f t="shared" si="14"/>
        <v>41.666666666666671</v>
      </c>
      <c r="F51" s="138"/>
      <c r="G51" s="133">
        <f>IFERROR(ROUND(D51*100/B51,2),0)</f>
        <v>4.55</v>
      </c>
      <c r="H51" s="134" t="str">
        <f t="shared" si="15"/>
        <v/>
      </c>
      <c r="I51" s="134">
        <f t="shared" si="16"/>
        <v>4.55</v>
      </c>
      <c r="J51" s="134" t="str">
        <f t="shared" si="17"/>
        <v/>
      </c>
      <c r="T51" s="18"/>
      <c r="V51" s="105"/>
      <c r="W51" s="98"/>
    </row>
    <row r="52" spans="1:23" ht="18" customHeight="1" x14ac:dyDescent="0.25">
      <c r="A52" s="132" t="str">
        <f>Config!$B$22</f>
        <v>ROQU</v>
      </c>
      <c r="B52" s="127">
        <f>METAS!$AX$93</f>
        <v>227</v>
      </c>
      <c r="C52" s="99">
        <f>ROUNDUP((B52/12)*Config!$C$6,0)</f>
        <v>95</v>
      </c>
      <c r="D52" s="127">
        <f>ACUMULADO!$AZ$6</f>
        <v>6</v>
      </c>
      <c r="E52" s="128">
        <f t="shared" si="14"/>
        <v>41.666666666666671</v>
      </c>
      <c r="F52" s="138"/>
      <c r="G52" s="133">
        <f>IFERROR(ROUND(D52*100/B52,2),0)</f>
        <v>2.64</v>
      </c>
      <c r="H52" s="134" t="str">
        <f t="shared" si="15"/>
        <v/>
      </c>
      <c r="I52" s="134">
        <f t="shared" si="16"/>
        <v>2.64</v>
      </c>
      <c r="J52" s="134" t="str">
        <f t="shared" si="17"/>
        <v/>
      </c>
      <c r="T52" s="18"/>
      <c r="V52" s="105"/>
      <c r="W52" s="98"/>
    </row>
    <row r="53" spans="1:23" ht="18" customHeight="1" x14ac:dyDescent="0.25">
      <c r="A53" s="132" t="str">
        <f>Config!$B$23</f>
        <v>CALZ</v>
      </c>
      <c r="B53" s="127">
        <f>METAS!$AY$93</f>
        <v>176</v>
      </c>
      <c r="C53" s="99">
        <f>ROUNDUP((B53/12)*Config!$C$6,0)</f>
        <v>74</v>
      </c>
      <c r="D53" s="127">
        <f>ACUMULADO!$BA$6</f>
        <v>1</v>
      </c>
      <c r="E53" s="128">
        <f t="shared" si="14"/>
        <v>41.666666666666671</v>
      </c>
      <c r="F53" s="138"/>
      <c r="G53" s="133">
        <f t="shared" si="13"/>
        <v>0.56999999999999995</v>
      </c>
      <c r="H53" s="134" t="str">
        <f t="shared" si="15"/>
        <v/>
      </c>
      <c r="I53" s="134">
        <f t="shared" si="16"/>
        <v>0.56999999999999995</v>
      </c>
      <c r="J53" s="134" t="str">
        <f t="shared" si="17"/>
        <v/>
      </c>
      <c r="T53" s="18"/>
      <c r="U53" s="18"/>
    </row>
    <row r="54" spans="1:23" ht="18" customHeight="1" x14ac:dyDescent="0.25">
      <c r="A54" s="132" t="str">
        <f>Config!$B$24</f>
        <v>PUEB</v>
      </c>
      <c r="B54" s="127">
        <f>METAS!$AZ$93</f>
        <v>199</v>
      </c>
      <c r="C54" s="99">
        <f>ROUNDUP((B54/12)*Config!$C$6,0)</f>
        <v>83</v>
      </c>
      <c r="D54" s="127">
        <f>ACUMULADO!$BB$6</f>
        <v>2</v>
      </c>
      <c r="E54" s="128">
        <f t="shared" si="14"/>
        <v>41.666666666666671</v>
      </c>
      <c r="F54" s="138"/>
      <c r="G54" s="133">
        <f t="shared" si="13"/>
        <v>1.01</v>
      </c>
      <c r="H54" s="134" t="str">
        <f>IF(G54&gt;=$C$3,G54,"")</f>
        <v/>
      </c>
      <c r="I54" s="134">
        <f>IF(G54&gt;$B$3,IF(G54&lt;$C$3,G54,""),"")</f>
        <v>1.01</v>
      </c>
      <c r="J54" s="134" t="str">
        <f>IF(G54&lt;=$B$3,G54,"")</f>
        <v/>
      </c>
      <c r="T54" s="18"/>
      <c r="W54" s="98"/>
    </row>
    <row r="55" spans="1:23" ht="18" customHeight="1" x14ac:dyDescent="0.25">
      <c r="C55" s="48"/>
      <c r="D55" s="101"/>
      <c r="E55" s="48"/>
      <c r="F55" s="48"/>
      <c r="G55" s="48"/>
      <c r="H55" s="48"/>
      <c r="I55" s="48"/>
      <c r="J55" s="48"/>
      <c r="T55" s="18"/>
      <c r="U55" s="18"/>
    </row>
    <row r="56" spans="1:23" ht="18" customHeight="1" x14ac:dyDescent="0.25">
      <c r="C56" s="48"/>
      <c r="D56" s="48"/>
      <c r="E56" s="48"/>
      <c r="F56" s="48"/>
      <c r="G56" s="48"/>
      <c r="H56" s="48"/>
      <c r="I56" s="48"/>
      <c r="J56" s="48"/>
      <c r="T56" s="18"/>
      <c r="U56" s="18"/>
    </row>
    <row r="57" spans="1:23" ht="18" customHeight="1" x14ac:dyDescent="0.25">
      <c r="C57" s="48"/>
      <c r="D57" s="48"/>
      <c r="E57" s="48"/>
      <c r="F57" s="48"/>
      <c r="G57" s="48"/>
      <c r="H57" s="48"/>
      <c r="I57" s="48"/>
      <c r="J57" s="48"/>
      <c r="T57" s="18"/>
      <c r="U57" s="18"/>
    </row>
    <row r="58" spans="1:23" ht="18" customHeight="1" x14ac:dyDescent="0.25">
      <c r="A58" s="139"/>
      <c r="B58" s="103"/>
      <c r="D58" s="103"/>
      <c r="E58" s="103"/>
      <c r="I58" s="103"/>
      <c r="J58" s="103"/>
      <c r="T58" s="18"/>
      <c r="W58" s="98"/>
    </row>
    <row r="59" spans="1:23" ht="18" customHeight="1" x14ac:dyDescent="0.25">
      <c r="A59" s="139"/>
      <c r="B59" s="103"/>
      <c r="D59" s="103"/>
      <c r="E59" s="103"/>
      <c r="I59" s="103"/>
      <c r="J59" s="103"/>
      <c r="T59" s="18"/>
      <c r="W59" s="98"/>
    </row>
    <row r="60" spans="1:23" ht="18" customHeight="1" x14ac:dyDescent="0.25">
      <c r="A60" s="139"/>
      <c r="B60" s="103"/>
      <c r="D60" s="103"/>
      <c r="E60" s="103"/>
      <c r="I60" s="103"/>
      <c r="J60" s="103"/>
      <c r="T60" s="18"/>
      <c r="W60" s="98"/>
    </row>
    <row r="61" spans="1:23" ht="18" customHeight="1" x14ac:dyDescent="0.25">
      <c r="A61" s="139"/>
      <c r="B61" s="103"/>
      <c r="D61" s="103"/>
      <c r="E61" s="103"/>
      <c r="I61" s="103"/>
      <c r="J61" s="103"/>
      <c r="T61" s="18"/>
      <c r="W61" s="98"/>
    </row>
    <row r="62" spans="1:23" ht="18" customHeight="1" x14ac:dyDescent="0.25">
      <c r="A62" s="139"/>
      <c r="B62" s="103"/>
      <c r="D62" s="103"/>
      <c r="E62" s="103"/>
      <c r="I62" s="103"/>
      <c r="J62" s="103"/>
      <c r="T62" s="18"/>
      <c r="W62" s="98"/>
    </row>
    <row r="63" spans="1:23" ht="18" customHeight="1" x14ac:dyDescent="0.25">
      <c r="A63" s="140"/>
      <c r="B63" s="103"/>
      <c r="D63" s="103"/>
      <c r="E63" s="103"/>
      <c r="I63" s="103"/>
      <c r="J63" s="103"/>
      <c r="T63" s="18"/>
      <c r="W63" s="98"/>
    </row>
    <row r="64" spans="1:23" ht="18" customHeight="1" x14ac:dyDescent="0.25">
      <c r="A64" s="141" t="str">
        <f>METAS!B94</f>
        <v>NIÑO  &lt; 1 AÑO CON CRED    COMPLETO PARA SU EDAD</v>
      </c>
      <c r="B64" s="103"/>
      <c r="D64" s="103"/>
      <c r="E64" s="103"/>
      <c r="I64" s="103"/>
      <c r="J64" s="103"/>
      <c r="T64" s="18"/>
      <c r="V64" s="97" t="str">
        <f>A64</f>
        <v>NIÑO  &lt; 1 AÑO CON CRED    COMPLETO PARA SU EDAD</v>
      </c>
      <c r="W64" s="98"/>
    </row>
    <row r="65" spans="1:23" ht="48" customHeight="1" x14ac:dyDescent="0.25">
      <c r="A65" s="107" t="s">
        <v>2</v>
      </c>
      <c r="B65" s="108" t="s">
        <v>164</v>
      </c>
      <c r="C65" s="109" t="s">
        <v>71</v>
      </c>
      <c r="D65" s="108" t="s">
        <v>265</v>
      </c>
      <c r="E65" s="108" t="s">
        <v>1</v>
      </c>
      <c r="F65" s="110"/>
      <c r="G65" s="111" t="s">
        <v>10</v>
      </c>
      <c r="H65" s="112" t="str">
        <f>"DEFICIENTE &lt;= "&amp;$E$3</f>
        <v>DEFICIENTE &lt;= 37,5</v>
      </c>
      <c r="I65" s="112" t="str">
        <f>"PROCESO &gt; "&amp;$E$3&amp;"  -  &lt; "&amp;$F$3</f>
        <v>PROCESO &gt; 37,5  -  &lt; 41,7</v>
      </c>
      <c r="J65" s="112" t="str">
        <f>"OPTIMO &gt;= "&amp;$F$3</f>
        <v>OPTIMO &gt;= 41,7</v>
      </c>
      <c r="T65" s="18"/>
      <c r="V65" s="137" t="str">
        <f>V$1&amp;"  "&amp;V64&amp;"  "&amp;$V$3&amp;"  "&amp;$V$2</f>
        <v>RED. MOYOBAMBA:  NIÑO  &lt; 1 AÑO CON CRED    COMPLETO PARA SU EDAD  - POR MICROREDES :   ENERO - MAYO 2022</v>
      </c>
      <c r="W65" s="98"/>
    </row>
    <row r="66" spans="1:23" ht="18" customHeight="1" thickBot="1" x14ac:dyDescent="0.3">
      <c r="A66" s="118" t="str">
        <f>Config!$B$15</f>
        <v>RED</v>
      </c>
      <c r="B66" s="119">
        <f>SUM(B67:B75)</f>
        <v>2457</v>
      </c>
      <c r="C66" s="119">
        <f>SUM(C67:C75)</f>
        <v>1027</v>
      </c>
      <c r="D66" s="119">
        <f>SUM(D67:D75)</f>
        <v>274</v>
      </c>
      <c r="E66" s="119">
        <f>Config!$C$9</f>
        <v>41.666666666666671</v>
      </c>
      <c r="F66" s="120"/>
      <c r="G66" s="119">
        <f t="shared" ref="G66:G67" si="18">IFERROR(ROUND(D66*100/B66,2),0)</f>
        <v>11.15</v>
      </c>
      <c r="H66" s="121">
        <f>IF(G66&lt;=$E$3,G66,"")</f>
        <v>11.15</v>
      </c>
      <c r="I66" s="121" t="str">
        <f>IF(G66&gt;$E$3,IF(G66&lt;$F$3,G66,""),"")</f>
        <v/>
      </c>
      <c r="J66" s="119" t="str">
        <f>IF(G66&gt;=$F$3,G66,"")</f>
        <v/>
      </c>
      <c r="T66" s="18"/>
      <c r="V66" s="97"/>
      <c r="W66" s="98"/>
    </row>
    <row r="67" spans="1:23" ht="18" hidden="1" customHeight="1" x14ac:dyDescent="0.25">
      <c r="A67" s="126" t="str">
        <f>Config!$B$16</f>
        <v>HOSP</v>
      </c>
      <c r="B67" s="127">
        <f>METAS!$AR$94</f>
        <v>0</v>
      </c>
      <c r="C67" s="127">
        <f>ROUNDUP((B67/12)*Config!$C$6,0)</f>
        <v>0</v>
      </c>
      <c r="D67" s="127">
        <f>ACUMULADO!$AT$7</f>
        <v>0</v>
      </c>
      <c r="E67" s="128">
        <f>E66</f>
        <v>41.666666666666671</v>
      </c>
      <c r="F67" s="128"/>
      <c r="G67" s="129">
        <f t="shared" si="18"/>
        <v>0</v>
      </c>
      <c r="H67" s="130">
        <f>IF(G67&lt;=$E$3,G67,"")</f>
        <v>0</v>
      </c>
      <c r="I67" s="130" t="str">
        <f>IF(G67&gt;$E$3,IF(G67&lt;$F$3,G67,""),"")</f>
        <v/>
      </c>
      <c r="J67" s="131" t="str">
        <f>IF(G67&gt;=$F$3,G67,"")</f>
        <v/>
      </c>
      <c r="T67" s="18"/>
      <c r="V67" s="97"/>
      <c r="W67" s="98"/>
    </row>
    <row r="68" spans="1:23" ht="18" customHeight="1" x14ac:dyDescent="0.25">
      <c r="A68" s="132" t="str">
        <f>Config!$B$17</f>
        <v>LLUI</v>
      </c>
      <c r="B68" s="127">
        <f>METAS!$AS$94</f>
        <v>1017</v>
      </c>
      <c r="C68" s="99">
        <f>ROUNDUP((B68/12)*Config!$C$6,0)</f>
        <v>424</v>
      </c>
      <c r="D68" s="127">
        <f>ACUMULADO!$AU$7</f>
        <v>90</v>
      </c>
      <c r="E68" s="128">
        <f t="shared" ref="E68:E75" si="19">E67</f>
        <v>41.666666666666671</v>
      </c>
      <c r="F68" s="128"/>
      <c r="G68" s="129">
        <f t="shared" ref="G68:G75" si="20">IFERROR(ROUND(D68*100/B68,2),0)</f>
        <v>8.85</v>
      </c>
      <c r="H68" s="130">
        <f t="shared" ref="H68:H75" si="21">IF(G68&lt;=$E$3,G68,"")</f>
        <v>8.85</v>
      </c>
      <c r="I68" s="130" t="str">
        <f t="shared" ref="I68:I75" si="22">IF(G68&gt;$E$3,IF(G68&lt;$F$3,G68,""),"")</f>
        <v/>
      </c>
      <c r="J68" s="131" t="str">
        <f t="shared" ref="J68:J75" si="23">IF(G68&gt;=$F$3,G68,"")</f>
        <v/>
      </c>
      <c r="T68" s="18"/>
      <c r="V68" s="97"/>
      <c r="W68" s="98"/>
    </row>
    <row r="69" spans="1:23" ht="18" customHeight="1" x14ac:dyDescent="0.25">
      <c r="A69" s="132" t="str">
        <f>Config!$B$18</f>
        <v>JERI</v>
      </c>
      <c r="B69" s="127">
        <f>METAS!$AT$94</f>
        <v>93</v>
      </c>
      <c r="C69" s="99">
        <f>ROUNDUP((B69/12)*Config!$C$6,0)</f>
        <v>39</v>
      </c>
      <c r="D69" s="127">
        <f>ACUMULADO!$AV$7</f>
        <v>16</v>
      </c>
      <c r="E69" s="128">
        <f t="shared" si="19"/>
        <v>41.666666666666671</v>
      </c>
      <c r="F69" s="128"/>
      <c r="G69" s="129">
        <f t="shared" si="20"/>
        <v>17.2</v>
      </c>
      <c r="H69" s="130">
        <f t="shared" si="21"/>
        <v>17.2</v>
      </c>
      <c r="I69" s="130" t="str">
        <f t="shared" si="22"/>
        <v/>
      </c>
      <c r="J69" s="131" t="str">
        <f t="shared" si="23"/>
        <v/>
      </c>
      <c r="T69" s="18"/>
      <c r="V69" s="105"/>
      <c r="W69" s="98"/>
    </row>
    <row r="70" spans="1:23" ht="18" customHeight="1" x14ac:dyDescent="0.25">
      <c r="A70" s="132" t="str">
        <f>Config!$B$19</f>
        <v>YANT</v>
      </c>
      <c r="B70" s="127">
        <f>METAS!$AU$94</f>
        <v>196</v>
      </c>
      <c r="C70" s="99">
        <f>ROUNDUP((B70/12)*Config!$C$6,0)</f>
        <v>82</v>
      </c>
      <c r="D70" s="127">
        <f>ACUMULADO!$AW$7</f>
        <v>43</v>
      </c>
      <c r="E70" s="128">
        <f t="shared" si="19"/>
        <v>41.666666666666671</v>
      </c>
      <c r="F70" s="128"/>
      <c r="G70" s="129">
        <f t="shared" si="20"/>
        <v>21.94</v>
      </c>
      <c r="H70" s="130">
        <f t="shared" si="21"/>
        <v>21.94</v>
      </c>
      <c r="I70" s="130" t="str">
        <f t="shared" si="22"/>
        <v/>
      </c>
      <c r="J70" s="131" t="str">
        <f t="shared" si="23"/>
        <v/>
      </c>
      <c r="T70" s="18"/>
      <c r="V70" s="105"/>
      <c r="W70" s="98"/>
    </row>
    <row r="71" spans="1:23" ht="18" customHeight="1" x14ac:dyDescent="0.25">
      <c r="A71" s="132" t="str">
        <f>Config!$B$20</f>
        <v>SORI</v>
      </c>
      <c r="B71" s="127">
        <f>METAS!$AV$94</f>
        <v>481</v>
      </c>
      <c r="C71" s="99">
        <f>ROUNDUP((B71/12)*Config!$C$6,0)</f>
        <v>201</v>
      </c>
      <c r="D71" s="127">
        <f>ACUMULADO!$AX$7</f>
        <v>41</v>
      </c>
      <c r="E71" s="128">
        <f t="shared" si="19"/>
        <v>41.666666666666671</v>
      </c>
      <c r="F71" s="128"/>
      <c r="G71" s="129">
        <f t="shared" si="20"/>
        <v>8.52</v>
      </c>
      <c r="H71" s="130">
        <f t="shared" si="21"/>
        <v>8.52</v>
      </c>
      <c r="I71" s="130" t="str">
        <f t="shared" si="22"/>
        <v/>
      </c>
      <c r="J71" s="131" t="str">
        <f t="shared" si="23"/>
        <v/>
      </c>
      <c r="T71" s="18"/>
      <c r="V71" s="105"/>
      <c r="W71" s="98"/>
    </row>
    <row r="72" spans="1:23" ht="18" customHeight="1" x14ac:dyDescent="0.25">
      <c r="A72" s="132" t="str">
        <f>Config!$B$21</f>
        <v>JEPE</v>
      </c>
      <c r="B72" s="127">
        <f>METAS!$AW$94</f>
        <v>179</v>
      </c>
      <c r="C72" s="99">
        <f>ROUNDUP((B72/12)*Config!$C$6,0)</f>
        <v>75</v>
      </c>
      <c r="D72" s="127">
        <f>ACUMULADO!$AY$7</f>
        <v>27</v>
      </c>
      <c r="E72" s="128">
        <f t="shared" si="19"/>
        <v>41.666666666666671</v>
      </c>
      <c r="F72" s="128"/>
      <c r="G72" s="129">
        <f t="shared" si="20"/>
        <v>15.08</v>
      </c>
      <c r="H72" s="130">
        <f t="shared" si="21"/>
        <v>15.08</v>
      </c>
      <c r="I72" s="130" t="str">
        <f t="shared" si="22"/>
        <v/>
      </c>
      <c r="J72" s="131" t="str">
        <f t="shared" si="23"/>
        <v/>
      </c>
      <c r="T72" s="18"/>
      <c r="V72" s="105"/>
      <c r="W72" s="98"/>
    </row>
    <row r="73" spans="1:23" ht="18" customHeight="1" x14ac:dyDescent="0.25">
      <c r="A73" s="132" t="str">
        <f>Config!$B$22</f>
        <v>ROQU</v>
      </c>
      <c r="B73" s="127">
        <f>METAS!$AX$94</f>
        <v>185</v>
      </c>
      <c r="C73" s="99">
        <f>ROUNDUP((B73/12)*Config!$C$6,0)</f>
        <v>78</v>
      </c>
      <c r="D73" s="127">
        <f>ACUMULADO!$AZ$7</f>
        <v>9</v>
      </c>
      <c r="E73" s="128">
        <f t="shared" si="19"/>
        <v>41.666666666666671</v>
      </c>
      <c r="F73" s="128"/>
      <c r="G73" s="129">
        <f t="shared" si="20"/>
        <v>4.8600000000000003</v>
      </c>
      <c r="H73" s="130">
        <f t="shared" si="21"/>
        <v>4.8600000000000003</v>
      </c>
      <c r="I73" s="130" t="str">
        <f t="shared" si="22"/>
        <v/>
      </c>
      <c r="J73" s="131" t="str">
        <f t="shared" si="23"/>
        <v/>
      </c>
      <c r="T73" s="18"/>
      <c r="V73" s="105"/>
      <c r="W73" s="98"/>
    </row>
    <row r="74" spans="1:23" ht="18" customHeight="1" x14ac:dyDescent="0.25">
      <c r="A74" s="132" t="str">
        <f>Config!$B$23</f>
        <v>CALZ</v>
      </c>
      <c r="B74" s="127">
        <f>METAS!$AY$94</f>
        <v>144</v>
      </c>
      <c r="C74" s="99">
        <f>ROUNDUP((B74/12)*Config!$C$6,0)</f>
        <v>60</v>
      </c>
      <c r="D74" s="127">
        <f>ACUMULADO!$BA$7</f>
        <v>27</v>
      </c>
      <c r="E74" s="128">
        <f t="shared" si="19"/>
        <v>41.666666666666671</v>
      </c>
      <c r="F74" s="128"/>
      <c r="G74" s="129">
        <f t="shared" si="20"/>
        <v>18.75</v>
      </c>
      <c r="H74" s="130">
        <f t="shared" si="21"/>
        <v>18.75</v>
      </c>
      <c r="I74" s="130" t="str">
        <f t="shared" si="22"/>
        <v/>
      </c>
      <c r="J74" s="131" t="str">
        <f t="shared" si="23"/>
        <v/>
      </c>
      <c r="T74" s="18"/>
      <c r="V74" s="105"/>
      <c r="W74" s="98"/>
    </row>
    <row r="75" spans="1:23" ht="18" customHeight="1" x14ac:dyDescent="0.25">
      <c r="A75" s="132" t="str">
        <f>Config!$B$24</f>
        <v>PUEB</v>
      </c>
      <c r="B75" s="127">
        <f>METAS!$AZ$94</f>
        <v>162</v>
      </c>
      <c r="C75" s="99">
        <f>ROUNDUP((B75/12)*Config!$C$6,0)</f>
        <v>68</v>
      </c>
      <c r="D75" s="127">
        <f>ACUMULADO!$BB$7</f>
        <v>21</v>
      </c>
      <c r="E75" s="128">
        <f t="shared" si="19"/>
        <v>41.666666666666671</v>
      </c>
      <c r="F75" s="128"/>
      <c r="G75" s="129">
        <f t="shared" si="20"/>
        <v>12.96</v>
      </c>
      <c r="H75" s="130">
        <f t="shared" si="21"/>
        <v>12.96</v>
      </c>
      <c r="I75" s="130" t="str">
        <f t="shared" si="22"/>
        <v/>
      </c>
      <c r="J75" s="131" t="str">
        <f t="shared" si="23"/>
        <v/>
      </c>
      <c r="T75" s="18"/>
      <c r="V75" s="105"/>
      <c r="W75" s="98"/>
    </row>
    <row r="76" spans="1:23" ht="18" customHeight="1" x14ac:dyDescent="0.25">
      <c r="D76" s="101"/>
      <c r="I76" s="48"/>
      <c r="J76" s="48"/>
      <c r="T76" s="18"/>
      <c r="W76" s="98"/>
    </row>
    <row r="77" spans="1:23" ht="18" customHeight="1" x14ac:dyDescent="0.25">
      <c r="I77" s="48"/>
      <c r="J77" s="48"/>
      <c r="T77" s="18"/>
      <c r="W77" s="98"/>
    </row>
    <row r="78" spans="1:23" ht="18" customHeight="1" x14ac:dyDescent="0.25">
      <c r="I78" s="48"/>
      <c r="J78" s="48"/>
      <c r="T78" s="18"/>
      <c r="W78" s="98"/>
    </row>
    <row r="79" spans="1:23" ht="18" customHeight="1" x14ac:dyDescent="0.25">
      <c r="A79" s="139"/>
      <c r="B79" s="103"/>
      <c r="D79" s="103"/>
      <c r="E79" s="103"/>
      <c r="I79" s="103"/>
      <c r="J79" s="103"/>
      <c r="T79" s="18"/>
      <c r="W79" s="98"/>
    </row>
    <row r="80" spans="1:23" ht="18" customHeight="1" x14ac:dyDescent="0.25">
      <c r="A80" s="139"/>
      <c r="B80" s="103"/>
      <c r="D80" s="103"/>
      <c r="E80" s="103"/>
      <c r="I80" s="103"/>
      <c r="J80" s="103"/>
      <c r="T80" s="18"/>
      <c r="W80" s="98"/>
    </row>
    <row r="81" spans="1:23" ht="18" customHeight="1" x14ac:dyDescent="0.25">
      <c r="A81" s="139"/>
      <c r="B81" s="103"/>
      <c r="D81" s="103"/>
      <c r="E81" s="103"/>
      <c r="I81" s="103"/>
      <c r="J81" s="103"/>
      <c r="T81" s="18"/>
      <c r="W81" s="98"/>
    </row>
    <row r="82" spans="1:23" ht="18" customHeight="1" x14ac:dyDescent="0.25">
      <c r="A82" s="139"/>
      <c r="B82" s="103"/>
      <c r="D82" s="103"/>
      <c r="E82" s="103"/>
      <c r="I82" s="103"/>
      <c r="J82" s="103"/>
      <c r="T82" s="18"/>
      <c r="W82" s="98"/>
    </row>
    <row r="83" spans="1:23" ht="18" customHeight="1" x14ac:dyDescent="0.25">
      <c r="B83" s="103"/>
      <c r="D83" s="103"/>
      <c r="E83" s="103"/>
      <c r="I83" s="103"/>
      <c r="J83" s="103"/>
      <c r="T83" s="18"/>
      <c r="W83" s="98"/>
    </row>
    <row r="84" spans="1:23" ht="18" customHeight="1" x14ac:dyDescent="0.25">
      <c r="I84" s="103"/>
      <c r="J84" s="103"/>
      <c r="T84" s="18"/>
      <c r="V84" s="97" t="str">
        <f>A85</f>
        <v>NIÑOS MENORES DE 36 MESES CON CONTROLES CRED COMPLETO  PARA SU EDAD</v>
      </c>
      <c r="W84" s="98"/>
    </row>
    <row r="85" spans="1:23" ht="18" customHeight="1" x14ac:dyDescent="0.25">
      <c r="A85" s="104" t="str">
        <f>METAS!B95</f>
        <v>NIÑOS MENORES DE 36 MESES CON CONTROLES CRED COMPLETO  PARA SU EDAD</v>
      </c>
      <c r="I85" s="103"/>
      <c r="J85" s="103"/>
      <c r="T85" s="18"/>
      <c r="V85" s="137" t="str">
        <f>$V$1&amp;"  "&amp;V84&amp;"  "&amp;$V$3&amp;"  "&amp;$V$2</f>
        <v>RED. MOYOBAMBA:  NIÑOS MENORES DE 36 MESES CON CONTROLES CRED COMPLETO  PARA SU EDAD  - POR MICROREDES :   ENERO - MAYO 2022</v>
      </c>
      <c r="W85" s="98"/>
    </row>
    <row r="86" spans="1:23" ht="48" customHeight="1" x14ac:dyDescent="0.25">
      <c r="A86" s="107" t="s">
        <v>2</v>
      </c>
      <c r="B86" s="108" t="s">
        <v>164</v>
      </c>
      <c r="C86" s="109" t="s">
        <v>71</v>
      </c>
      <c r="D86" s="108" t="s">
        <v>265</v>
      </c>
      <c r="E86" s="108" t="s">
        <v>1</v>
      </c>
      <c r="F86" s="110"/>
      <c r="G86" s="111" t="s">
        <v>10</v>
      </c>
      <c r="H86" s="112" t="str">
        <f>"DEFICIENTE &lt;= "&amp;$E$3</f>
        <v>DEFICIENTE &lt;= 37,5</v>
      </c>
      <c r="I86" s="112" t="str">
        <f>"PROCESO &gt; "&amp;$E$3&amp;"  -  &lt; "&amp;$F$3</f>
        <v>PROCESO &gt; 37,5  -  &lt; 41,7</v>
      </c>
      <c r="J86" s="112" t="str">
        <f>"OPTIMO &gt;= "&amp;$F$3</f>
        <v>OPTIMO &gt;= 41,7</v>
      </c>
      <c r="T86" s="18"/>
      <c r="V86" s="97"/>
      <c r="W86" s="98"/>
    </row>
    <row r="87" spans="1:23" ht="18" customHeight="1" thickBot="1" x14ac:dyDescent="0.3">
      <c r="A87" s="118" t="str">
        <f>Config!$B$15</f>
        <v>RED</v>
      </c>
      <c r="B87" s="119">
        <f>SUM(B88:B96)</f>
        <v>2724</v>
      </c>
      <c r="C87" s="119">
        <f>SUM(C88:C96)</f>
        <v>1138</v>
      </c>
      <c r="D87" s="119">
        <f>SUM(D88:D96)</f>
        <v>0</v>
      </c>
      <c r="E87" s="119">
        <f>Config!$C$9</f>
        <v>41.666666666666671</v>
      </c>
      <c r="F87" s="120"/>
      <c r="G87" s="119">
        <f t="shared" ref="G87:G92" si="24">IFERROR(ROUND(D87*100/B87,2),0)</f>
        <v>0</v>
      </c>
      <c r="H87" s="121">
        <f t="shared" ref="H87:H96" si="25">IF(G87&lt;=$E$3,G87,"")</f>
        <v>0</v>
      </c>
      <c r="I87" s="121" t="str">
        <f t="shared" ref="I87:I96" si="26">IF(G87&gt;$E$3,IF(G87&lt;$F$3,G87,""),"")</f>
        <v/>
      </c>
      <c r="J87" s="119" t="str">
        <f t="shared" ref="J87:J96" si="27">IF(G87&gt;=$F$3,G87,"")</f>
        <v/>
      </c>
      <c r="T87" s="18"/>
      <c r="V87" s="97"/>
      <c r="W87" s="98"/>
    </row>
    <row r="88" spans="1:23" ht="18" customHeight="1" x14ac:dyDescent="0.25">
      <c r="A88" s="126" t="str">
        <f>Config!$B$16</f>
        <v>HOSP</v>
      </c>
      <c r="B88" s="127">
        <f>METAS!$AR$95</f>
        <v>0</v>
      </c>
      <c r="C88" s="127">
        <f>ROUNDUP((B88/12)*Config!$C$6,0)</f>
        <v>0</v>
      </c>
      <c r="D88" s="127">
        <f>ACUMULADO!$AT$8</f>
        <v>0</v>
      </c>
      <c r="E88" s="128">
        <f>E87</f>
        <v>41.666666666666671</v>
      </c>
      <c r="F88" s="128"/>
      <c r="G88" s="129">
        <f t="shared" si="24"/>
        <v>0</v>
      </c>
      <c r="H88" s="130">
        <f t="shared" si="25"/>
        <v>0</v>
      </c>
      <c r="I88" s="130" t="str">
        <f t="shared" si="26"/>
        <v/>
      </c>
      <c r="J88" s="131" t="str">
        <f t="shared" si="27"/>
        <v/>
      </c>
      <c r="T88" s="18"/>
      <c r="V88" s="97"/>
      <c r="W88" s="98"/>
    </row>
    <row r="89" spans="1:23" ht="18" customHeight="1" x14ac:dyDescent="0.25">
      <c r="A89" s="132" t="str">
        <f>Config!$B$17</f>
        <v>LLUI</v>
      </c>
      <c r="B89" s="127">
        <f>METAS!$AS$95</f>
        <v>1129</v>
      </c>
      <c r="C89" s="99">
        <f>ROUNDUP((B89/12)*Config!$C$6,0)</f>
        <v>471</v>
      </c>
      <c r="D89" s="127">
        <f>ACUMULADO!$AU$8</f>
        <v>0</v>
      </c>
      <c r="E89" s="128">
        <f t="shared" ref="E89:E96" si="28">E88</f>
        <v>41.666666666666671</v>
      </c>
      <c r="F89" s="138"/>
      <c r="G89" s="133">
        <f t="shared" si="24"/>
        <v>0</v>
      </c>
      <c r="H89" s="134">
        <f t="shared" si="25"/>
        <v>0</v>
      </c>
      <c r="I89" s="134" t="str">
        <f t="shared" si="26"/>
        <v/>
      </c>
      <c r="J89" s="135" t="str">
        <f t="shared" si="27"/>
        <v/>
      </c>
      <c r="T89" s="18"/>
      <c r="V89" s="97"/>
      <c r="W89" s="98"/>
    </row>
    <row r="90" spans="1:23" ht="18" customHeight="1" x14ac:dyDescent="0.25">
      <c r="A90" s="132" t="str">
        <f>Config!$B$18</f>
        <v>JERI</v>
      </c>
      <c r="B90" s="127">
        <f>METAS!$AT$95</f>
        <v>105</v>
      </c>
      <c r="C90" s="99">
        <f>ROUNDUP((B90/12)*Config!$C$6,0)</f>
        <v>44</v>
      </c>
      <c r="D90" s="127">
        <f>ACUMULADO!$AV$8</f>
        <v>0</v>
      </c>
      <c r="E90" s="128">
        <f t="shared" si="28"/>
        <v>41.666666666666671</v>
      </c>
      <c r="F90" s="138"/>
      <c r="G90" s="133">
        <f t="shared" si="24"/>
        <v>0</v>
      </c>
      <c r="H90" s="134">
        <f t="shared" si="25"/>
        <v>0</v>
      </c>
      <c r="I90" s="134" t="str">
        <f t="shared" si="26"/>
        <v/>
      </c>
      <c r="J90" s="135" t="str">
        <f t="shared" si="27"/>
        <v/>
      </c>
      <c r="T90" s="18"/>
      <c r="V90" s="105"/>
      <c r="W90" s="98"/>
    </row>
    <row r="91" spans="1:23" ht="18" customHeight="1" x14ac:dyDescent="0.25">
      <c r="A91" s="132" t="str">
        <f>Config!$B$19</f>
        <v>YANT</v>
      </c>
      <c r="B91" s="127">
        <f>METAS!$AU$95</f>
        <v>210</v>
      </c>
      <c r="C91" s="99">
        <f>ROUNDUP((B91/12)*Config!$C$6,0)</f>
        <v>88</v>
      </c>
      <c r="D91" s="127">
        <f>ACUMULADO!$AW$8</f>
        <v>0</v>
      </c>
      <c r="E91" s="128">
        <f t="shared" si="28"/>
        <v>41.666666666666671</v>
      </c>
      <c r="F91" s="138"/>
      <c r="G91" s="133">
        <f t="shared" si="24"/>
        <v>0</v>
      </c>
      <c r="H91" s="134">
        <f t="shared" si="25"/>
        <v>0</v>
      </c>
      <c r="I91" s="134" t="str">
        <f t="shared" si="26"/>
        <v/>
      </c>
      <c r="J91" s="135" t="str">
        <f t="shared" si="27"/>
        <v/>
      </c>
      <c r="T91" s="18"/>
      <c r="V91" s="105"/>
      <c r="W91" s="98"/>
    </row>
    <row r="92" spans="1:23" ht="18" customHeight="1" x14ac:dyDescent="0.25">
      <c r="A92" s="132" t="str">
        <f>Config!$B$20</f>
        <v>SORI</v>
      </c>
      <c r="B92" s="127">
        <f>METAS!$AV$95</f>
        <v>537</v>
      </c>
      <c r="C92" s="99">
        <f>ROUNDUP((B92/12)*Config!$C$6,0)</f>
        <v>224</v>
      </c>
      <c r="D92" s="127">
        <f>ACUMULADO!$AX$8</f>
        <v>0</v>
      </c>
      <c r="E92" s="128">
        <f t="shared" si="28"/>
        <v>41.666666666666671</v>
      </c>
      <c r="F92" s="138"/>
      <c r="G92" s="133">
        <f t="shared" si="24"/>
        <v>0</v>
      </c>
      <c r="H92" s="134">
        <f t="shared" si="25"/>
        <v>0</v>
      </c>
      <c r="I92" s="134" t="str">
        <f t="shared" si="26"/>
        <v/>
      </c>
      <c r="J92" s="135" t="str">
        <f t="shared" si="27"/>
        <v/>
      </c>
      <c r="T92" s="18"/>
      <c r="V92" s="105"/>
      <c r="W92" s="98"/>
    </row>
    <row r="93" spans="1:23" ht="18" customHeight="1" x14ac:dyDescent="0.25">
      <c r="A93" s="132" t="str">
        <f>Config!$B$21</f>
        <v>JEPE</v>
      </c>
      <c r="B93" s="127">
        <f>METAS!$AW$95</f>
        <v>203</v>
      </c>
      <c r="C93" s="99">
        <f>ROUNDUP((B93/12)*Config!$C$6,0)</f>
        <v>85</v>
      </c>
      <c r="D93" s="127">
        <f>ACUMULADO!$AY$8</f>
        <v>0</v>
      </c>
      <c r="E93" s="128">
        <f t="shared" si="28"/>
        <v>41.666666666666671</v>
      </c>
      <c r="F93" s="138"/>
      <c r="G93" s="133">
        <f>IFERROR(ROUND(D93*100/B93,2),0)</f>
        <v>0</v>
      </c>
      <c r="H93" s="134">
        <f t="shared" si="25"/>
        <v>0</v>
      </c>
      <c r="I93" s="134" t="str">
        <f t="shared" si="26"/>
        <v/>
      </c>
      <c r="J93" s="135" t="str">
        <f t="shared" si="27"/>
        <v/>
      </c>
      <c r="T93" s="18"/>
      <c r="V93" s="105"/>
      <c r="W93" s="98"/>
    </row>
    <row r="94" spans="1:23" ht="18" customHeight="1" x14ac:dyDescent="0.25">
      <c r="A94" s="132" t="str">
        <f>Config!$B$22</f>
        <v>ROQU</v>
      </c>
      <c r="B94" s="127">
        <f>METAS!$AX$95</f>
        <v>196</v>
      </c>
      <c r="C94" s="99">
        <f>ROUNDUP((B94/12)*Config!$C$6,0)</f>
        <v>82</v>
      </c>
      <c r="D94" s="127">
        <f>ACUMULADO!$AZ$8</f>
        <v>0</v>
      </c>
      <c r="E94" s="128">
        <f t="shared" si="28"/>
        <v>41.666666666666671</v>
      </c>
      <c r="F94" s="138"/>
      <c r="G94" s="133">
        <f>IFERROR(ROUND(D94*100/B94,2),0)</f>
        <v>0</v>
      </c>
      <c r="H94" s="134">
        <f t="shared" si="25"/>
        <v>0</v>
      </c>
      <c r="I94" s="134" t="str">
        <f t="shared" si="26"/>
        <v/>
      </c>
      <c r="J94" s="135" t="str">
        <f t="shared" si="27"/>
        <v/>
      </c>
      <c r="T94" s="18"/>
      <c r="W94" s="98"/>
    </row>
    <row r="95" spans="1:23" ht="18" customHeight="1" x14ac:dyDescent="0.25">
      <c r="A95" s="132" t="str">
        <f>Config!$B$23</f>
        <v>CALZ</v>
      </c>
      <c r="B95" s="127">
        <f>METAS!$AY$95</f>
        <v>164</v>
      </c>
      <c r="C95" s="99">
        <f>ROUNDUP((B95/12)*Config!$C$6,0)</f>
        <v>69</v>
      </c>
      <c r="D95" s="127">
        <f>ACUMULADO!$BA$8</f>
        <v>0</v>
      </c>
      <c r="E95" s="128">
        <f t="shared" si="28"/>
        <v>41.666666666666671</v>
      </c>
      <c r="F95" s="138"/>
      <c r="G95" s="133">
        <f t="shared" ref="G95:G96" si="29">IFERROR(ROUND(D95*100/B95,2),0)</f>
        <v>0</v>
      </c>
      <c r="H95" s="134">
        <f t="shared" si="25"/>
        <v>0</v>
      </c>
      <c r="I95" s="134" t="str">
        <f t="shared" si="26"/>
        <v/>
      </c>
      <c r="J95" s="135" t="str">
        <f t="shared" si="27"/>
        <v/>
      </c>
      <c r="T95" s="18"/>
      <c r="W95" s="98"/>
    </row>
    <row r="96" spans="1:23" ht="18" customHeight="1" x14ac:dyDescent="0.25">
      <c r="A96" s="132" t="str">
        <f>Config!$B$24</f>
        <v>PUEB</v>
      </c>
      <c r="B96" s="127">
        <f>METAS!$AZ$95</f>
        <v>180</v>
      </c>
      <c r="C96" s="99">
        <f>ROUNDUP((B96/12)*Config!$C$6,0)</f>
        <v>75</v>
      </c>
      <c r="D96" s="127">
        <f>ACUMULADO!$BB$8</f>
        <v>0</v>
      </c>
      <c r="E96" s="128">
        <f t="shared" si="28"/>
        <v>41.666666666666671</v>
      </c>
      <c r="F96" s="138"/>
      <c r="G96" s="133">
        <f t="shared" si="29"/>
        <v>0</v>
      </c>
      <c r="H96" s="134">
        <f t="shared" si="25"/>
        <v>0</v>
      </c>
      <c r="I96" s="134" t="str">
        <f t="shared" si="26"/>
        <v/>
      </c>
      <c r="J96" s="135" t="str">
        <f t="shared" si="27"/>
        <v/>
      </c>
      <c r="T96" s="18"/>
      <c r="W96" s="98"/>
    </row>
    <row r="97" spans="1:527" ht="18" customHeight="1" x14ac:dyDescent="0.25">
      <c r="A97" s="139"/>
      <c r="B97" s="103"/>
      <c r="D97" s="101"/>
      <c r="E97" s="103"/>
      <c r="I97" s="103"/>
      <c r="J97" s="103"/>
      <c r="T97" s="18"/>
      <c r="W97" s="98"/>
    </row>
    <row r="98" spans="1:527" ht="18" customHeight="1" x14ac:dyDescent="0.25">
      <c r="A98" s="139"/>
      <c r="B98" s="103"/>
      <c r="D98" s="103"/>
      <c r="E98" s="103"/>
      <c r="I98" s="103"/>
      <c r="J98" s="103"/>
      <c r="T98" s="18"/>
      <c r="W98" s="98"/>
    </row>
    <row r="99" spans="1:527" ht="18" customHeight="1" x14ac:dyDescent="0.25">
      <c r="A99" s="139"/>
      <c r="B99" s="103"/>
      <c r="D99" s="103"/>
      <c r="E99" s="103"/>
      <c r="I99" s="103"/>
      <c r="J99" s="103"/>
      <c r="T99" s="18"/>
      <c r="W99" s="98"/>
    </row>
    <row r="100" spans="1:527" ht="18" customHeight="1" x14ac:dyDescent="0.25">
      <c r="A100" s="139"/>
      <c r="B100" s="103"/>
      <c r="D100" s="103"/>
      <c r="E100" s="103"/>
      <c r="I100" s="103"/>
      <c r="J100" s="103"/>
      <c r="T100" s="18"/>
      <c r="W100" s="98"/>
    </row>
    <row r="101" spans="1:527" ht="18" customHeight="1" x14ac:dyDescent="0.25">
      <c r="A101" s="139"/>
      <c r="B101" s="103"/>
      <c r="D101" s="103"/>
      <c r="E101" s="103"/>
      <c r="I101" s="103"/>
      <c r="J101" s="103"/>
      <c r="T101" s="18"/>
      <c r="W101" s="98"/>
    </row>
    <row r="102" spans="1:527" ht="18" customHeight="1" x14ac:dyDescent="0.25">
      <c r="A102" s="142"/>
      <c r="B102" s="103"/>
      <c r="D102" s="103"/>
      <c r="E102" s="103"/>
      <c r="I102" s="103"/>
      <c r="J102" s="103"/>
      <c r="T102" s="18"/>
      <c r="W102" s="98"/>
      <c r="PN102" s="48">
        <v>0</v>
      </c>
      <c r="PO102" s="48">
        <v>0</v>
      </c>
      <c r="PP102" s="48">
        <v>0</v>
      </c>
      <c r="PQ102" s="48">
        <v>0</v>
      </c>
      <c r="PR102" s="48">
        <v>0</v>
      </c>
      <c r="PS102" s="48">
        <v>0</v>
      </c>
      <c r="PT102" s="48">
        <v>0</v>
      </c>
      <c r="PU102" s="48">
        <v>0</v>
      </c>
      <c r="PV102" s="48">
        <v>0</v>
      </c>
      <c r="PW102" s="48">
        <v>0</v>
      </c>
      <c r="PX102" s="48">
        <v>0</v>
      </c>
      <c r="PY102" s="48">
        <v>0</v>
      </c>
      <c r="PZ102" s="48">
        <v>0</v>
      </c>
      <c r="QA102" s="48">
        <v>0</v>
      </c>
      <c r="QB102" s="48">
        <v>0</v>
      </c>
      <c r="QC102" s="48">
        <v>0</v>
      </c>
      <c r="QD102" s="48">
        <v>0</v>
      </c>
      <c r="QE102" s="48">
        <v>0</v>
      </c>
      <c r="QF102" s="48">
        <v>0</v>
      </c>
      <c r="QG102" s="48">
        <v>0</v>
      </c>
      <c r="QH102" s="48">
        <v>0</v>
      </c>
      <c r="QI102" s="48">
        <v>0</v>
      </c>
      <c r="QJ102" s="48">
        <v>0</v>
      </c>
      <c r="QK102" s="48">
        <v>0</v>
      </c>
      <c r="QL102" s="48">
        <v>0</v>
      </c>
      <c r="QM102" s="48">
        <v>0</v>
      </c>
      <c r="QN102" s="48">
        <v>0</v>
      </c>
      <c r="QO102" s="48">
        <v>0</v>
      </c>
      <c r="QP102" s="48">
        <v>0</v>
      </c>
      <c r="QQ102" s="48">
        <v>0</v>
      </c>
      <c r="QR102" s="48">
        <v>0</v>
      </c>
      <c r="QS102" s="48">
        <v>0</v>
      </c>
      <c r="QT102" s="48">
        <v>0</v>
      </c>
      <c r="QU102" s="48">
        <v>0</v>
      </c>
      <c r="QV102" s="48">
        <v>0</v>
      </c>
      <c r="QW102" s="48">
        <v>0</v>
      </c>
      <c r="QX102" s="48">
        <v>0</v>
      </c>
      <c r="QY102" s="48">
        <v>0</v>
      </c>
      <c r="QZ102" s="48">
        <v>0</v>
      </c>
      <c r="RA102" s="48">
        <v>0</v>
      </c>
      <c r="RB102" s="48">
        <v>0</v>
      </c>
      <c r="RC102" s="48">
        <v>0</v>
      </c>
      <c r="RD102" s="48">
        <v>0</v>
      </c>
      <c r="RE102" s="48">
        <v>0</v>
      </c>
      <c r="RF102" s="48">
        <v>0</v>
      </c>
      <c r="RG102" s="48">
        <v>0</v>
      </c>
      <c r="RH102" s="48">
        <v>0</v>
      </c>
      <c r="RI102" s="48">
        <v>0</v>
      </c>
      <c r="RJ102" s="48">
        <v>0</v>
      </c>
      <c r="RK102" s="48">
        <v>0</v>
      </c>
      <c r="RL102" s="48">
        <v>0</v>
      </c>
      <c r="RM102" s="48">
        <v>0</v>
      </c>
      <c r="RN102" s="48">
        <v>0</v>
      </c>
      <c r="RO102" s="48">
        <v>0</v>
      </c>
      <c r="RP102" s="48">
        <v>0</v>
      </c>
      <c r="RQ102" s="48">
        <v>0</v>
      </c>
      <c r="RR102" s="48">
        <v>0</v>
      </c>
      <c r="RS102" s="48">
        <v>0</v>
      </c>
      <c r="RT102" s="48">
        <v>0</v>
      </c>
      <c r="RU102" s="48">
        <v>0</v>
      </c>
      <c r="RV102" s="48">
        <v>0</v>
      </c>
      <c r="RW102" s="48">
        <v>0</v>
      </c>
      <c r="RX102" s="48">
        <v>0</v>
      </c>
      <c r="RY102" s="48">
        <v>0</v>
      </c>
      <c r="RZ102" s="48">
        <v>0</v>
      </c>
      <c r="SA102" s="48">
        <v>0</v>
      </c>
      <c r="SB102" s="48">
        <v>0</v>
      </c>
      <c r="SC102" s="48">
        <v>0</v>
      </c>
      <c r="SD102" s="48">
        <v>0</v>
      </c>
      <c r="SE102" s="48">
        <v>0</v>
      </c>
      <c r="SF102" s="48">
        <v>0</v>
      </c>
      <c r="SG102" s="48">
        <v>0</v>
      </c>
      <c r="SH102" s="48">
        <v>0</v>
      </c>
      <c r="SI102" s="48">
        <v>0</v>
      </c>
      <c r="SJ102" s="48">
        <v>0</v>
      </c>
      <c r="SK102" s="48">
        <v>0</v>
      </c>
      <c r="SL102" s="48">
        <v>0</v>
      </c>
      <c r="SM102" s="48">
        <v>0</v>
      </c>
      <c r="SN102" s="48">
        <v>0</v>
      </c>
      <c r="SO102" s="48">
        <v>0</v>
      </c>
      <c r="SP102" s="48">
        <v>0</v>
      </c>
      <c r="SQ102" s="48">
        <v>0</v>
      </c>
      <c r="SR102" s="48">
        <v>0</v>
      </c>
      <c r="SS102" s="48">
        <v>0</v>
      </c>
      <c r="ST102" s="48">
        <v>0</v>
      </c>
      <c r="SU102" s="48">
        <v>0</v>
      </c>
      <c r="SV102" s="48">
        <v>0</v>
      </c>
      <c r="SW102" s="48">
        <v>0</v>
      </c>
      <c r="SX102" s="48">
        <v>0</v>
      </c>
      <c r="SY102" s="48">
        <v>0</v>
      </c>
      <c r="SZ102" s="48">
        <v>0</v>
      </c>
      <c r="TA102" s="48">
        <v>0</v>
      </c>
      <c r="TB102" s="48">
        <v>0</v>
      </c>
      <c r="TC102" s="48">
        <v>0</v>
      </c>
      <c r="TD102" s="48">
        <v>0</v>
      </c>
      <c r="TE102" s="48">
        <v>0</v>
      </c>
      <c r="TF102" s="48">
        <v>0</v>
      </c>
      <c r="TG102" s="48">
        <v>0</v>
      </c>
    </row>
    <row r="103" spans="1:527" ht="18" customHeight="1" x14ac:dyDescent="0.25">
      <c r="A103" s="142"/>
      <c r="B103" s="103"/>
      <c r="D103" s="103"/>
      <c r="E103" s="103"/>
      <c r="I103" s="103"/>
      <c r="J103" s="103"/>
      <c r="T103" s="18"/>
      <c r="W103" s="98"/>
    </row>
    <row r="104" spans="1:527" ht="18" customHeight="1" x14ac:dyDescent="0.25">
      <c r="A104" s="140"/>
      <c r="B104" s="103"/>
      <c r="D104" s="103"/>
      <c r="E104" s="103"/>
      <c r="I104" s="103"/>
      <c r="J104" s="103"/>
      <c r="T104" s="18"/>
      <c r="W104" s="98"/>
    </row>
    <row r="105" spans="1:527" ht="18" customHeight="1" x14ac:dyDescent="0.25">
      <c r="A105" s="141" t="str">
        <f>METAS!B96</f>
        <v>PORCENTAJE DE NIÑAS Y NIÑOS RECIEN NACIDOS DE PARTO INSTITUCIONALQUE RECIBEN VACUNAS COMPLETAS ANTES DEL ALTA</v>
      </c>
      <c r="B105" s="103"/>
      <c r="D105" s="103"/>
      <c r="E105" s="103"/>
      <c r="I105" s="103"/>
      <c r="J105" s="103"/>
      <c r="K105" s="48" t="s">
        <v>264</v>
      </c>
      <c r="T105" s="18"/>
      <c r="V105" s="97" t="str">
        <f>A105</f>
        <v>PORCENTAJE DE NIÑAS Y NIÑOS RECIEN NACIDOS DE PARTO INSTITUCIONALQUE RECIBEN VACUNAS COMPLETAS ANTES DEL ALTA</v>
      </c>
      <c r="W105" s="98"/>
    </row>
    <row r="106" spans="1:527" ht="48" customHeight="1" x14ac:dyDescent="0.25">
      <c r="A106" s="107" t="s">
        <v>2</v>
      </c>
      <c r="B106" s="108" t="s">
        <v>164</v>
      </c>
      <c r="C106" s="109" t="s">
        <v>71</v>
      </c>
      <c r="D106" s="108" t="s">
        <v>266</v>
      </c>
      <c r="E106" s="108" t="s">
        <v>1</v>
      </c>
      <c r="F106" s="110"/>
      <c r="G106" s="111" t="s">
        <v>10</v>
      </c>
      <c r="H106" s="112" t="str">
        <f>"DEFICIENTE &lt;= "&amp;$E$3</f>
        <v>DEFICIENTE &lt;= 37,5</v>
      </c>
      <c r="I106" s="112" t="str">
        <f>"PROCESO &gt; "&amp;$E$3&amp;"  -  &lt; "&amp;$F$3</f>
        <v>PROCESO &gt; 37,5  -  &lt; 41,7</v>
      </c>
      <c r="J106" s="112" t="str">
        <f>"OPTIMO &gt;= "&amp;$F$3</f>
        <v>OPTIMO &gt;= 41,7</v>
      </c>
      <c r="T106" s="18"/>
      <c r="V106" s="137" t="str">
        <f>V$1&amp;"  "&amp;V105&amp;"  "&amp;$V$3&amp;"  "&amp;$V$2</f>
        <v>RED. MOYOBAMBA:  PORCENTAJE DE NIÑAS Y NIÑOS RECIEN NACIDOS DE PARTO INSTITUCIONALQUE RECIBEN VACUNAS COMPLETAS ANTES DEL ALTA  - POR MICROREDES :   ENERO - MAYO 2022</v>
      </c>
      <c r="W106" s="98"/>
    </row>
    <row r="107" spans="1:527" ht="18" customHeight="1" thickBot="1" x14ac:dyDescent="0.3">
      <c r="A107" s="118" t="str">
        <f>Config!$B$15</f>
        <v>RED</v>
      </c>
      <c r="B107" s="119">
        <f>SUM(B108:B116)</f>
        <v>3018</v>
      </c>
      <c r="C107" s="119">
        <f>SUM(C108:C116)</f>
        <v>1260</v>
      </c>
      <c r="D107" s="119">
        <f>SUM(D108:D116)</f>
        <v>1097</v>
      </c>
      <c r="E107" s="119">
        <f>Config!$C$9</f>
        <v>41.666666666666671</v>
      </c>
      <c r="F107" s="120"/>
      <c r="G107" s="119">
        <f t="shared" ref="G107:G112" si="30">IFERROR(ROUND(D107*100/B107,2),0)</f>
        <v>36.35</v>
      </c>
      <c r="H107" s="121">
        <f t="shared" ref="H107:H116" si="31">IF(G107&lt;=$E$3,G107,"")</f>
        <v>36.35</v>
      </c>
      <c r="I107" s="121" t="str">
        <f t="shared" ref="I107:I116" si="32">IF(G107&gt;$E$3,IF(G107&lt;$F$3,G107,""),"")</f>
        <v/>
      </c>
      <c r="J107" s="119" t="str">
        <f t="shared" ref="J107:J116" si="33">IF(G107&gt;=$F$3,G107,"")</f>
        <v/>
      </c>
      <c r="T107" s="18"/>
      <c r="V107" s="97"/>
      <c r="W107" s="98"/>
    </row>
    <row r="108" spans="1:527" ht="18" customHeight="1" x14ac:dyDescent="0.25">
      <c r="A108" s="126" t="str">
        <f>Config!$B$16</f>
        <v>HOSP</v>
      </c>
      <c r="B108" s="127">
        <f>METAS!$AR$96</f>
        <v>0</v>
      </c>
      <c r="C108" s="127">
        <f>ROUNDUP((B108/12)*Config!$C$6,0)</f>
        <v>0</v>
      </c>
      <c r="D108" s="127">
        <f>ACUMULADO!$AT$9</f>
        <v>859</v>
      </c>
      <c r="E108" s="128">
        <f>E107</f>
        <v>41.666666666666671</v>
      </c>
      <c r="F108" s="128"/>
      <c r="G108" s="129">
        <f t="shared" si="30"/>
        <v>0</v>
      </c>
      <c r="H108" s="130">
        <f t="shared" si="31"/>
        <v>0</v>
      </c>
      <c r="I108" s="130" t="str">
        <f t="shared" si="32"/>
        <v/>
      </c>
      <c r="J108" s="131" t="str">
        <f t="shared" si="33"/>
        <v/>
      </c>
      <c r="T108" s="18"/>
      <c r="V108" s="97"/>
      <c r="W108" s="98"/>
    </row>
    <row r="109" spans="1:527" ht="18" customHeight="1" x14ac:dyDescent="0.25">
      <c r="A109" s="132" t="str">
        <f>Config!$B$17</f>
        <v>LLUI</v>
      </c>
      <c r="B109" s="127">
        <f>METAS!$AS$96</f>
        <v>1250</v>
      </c>
      <c r="C109" s="99">
        <f>ROUNDUP((B109/12)*Config!$C$6,0)</f>
        <v>521</v>
      </c>
      <c r="D109" s="127">
        <f>ACUMULADO!$AU$9</f>
        <v>6</v>
      </c>
      <c r="E109" s="128">
        <f t="shared" ref="E109:E116" si="34">E108</f>
        <v>41.666666666666671</v>
      </c>
      <c r="F109" s="138"/>
      <c r="G109" s="133">
        <f t="shared" si="30"/>
        <v>0.48</v>
      </c>
      <c r="H109" s="134">
        <f t="shared" si="31"/>
        <v>0.48</v>
      </c>
      <c r="I109" s="134" t="str">
        <f t="shared" si="32"/>
        <v/>
      </c>
      <c r="J109" s="135" t="str">
        <f t="shared" si="33"/>
        <v/>
      </c>
      <c r="T109" s="18"/>
      <c r="V109" s="97"/>
      <c r="W109" s="98"/>
    </row>
    <row r="110" spans="1:527" ht="18" customHeight="1" x14ac:dyDescent="0.25">
      <c r="A110" s="132" t="str">
        <f>Config!$B$18</f>
        <v>JERI</v>
      </c>
      <c r="B110" s="127">
        <f>METAS!$AT$96</f>
        <v>112</v>
      </c>
      <c r="C110" s="99">
        <f>ROUNDUP((B110/12)*Config!$C$6,0)</f>
        <v>47</v>
      </c>
      <c r="D110" s="127">
        <f>ACUMULADO!$AV$9</f>
        <v>35</v>
      </c>
      <c r="E110" s="128">
        <f t="shared" si="34"/>
        <v>41.666666666666671</v>
      </c>
      <c r="F110" s="138"/>
      <c r="G110" s="133">
        <f t="shared" si="30"/>
        <v>31.25</v>
      </c>
      <c r="H110" s="134">
        <f t="shared" si="31"/>
        <v>31.25</v>
      </c>
      <c r="I110" s="134" t="str">
        <f t="shared" si="32"/>
        <v/>
      </c>
      <c r="J110" s="135" t="str">
        <f t="shared" si="33"/>
        <v/>
      </c>
      <c r="T110" s="18"/>
      <c r="V110" s="105"/>
      <c r="W110" s="98"/>
    </row>
    <row r="111" spans="1:527" ht="18" customHeight="1" x14ac:dyDescent="0.25">
      <c r="A111" s="132" t="str">
        <f>Config!$B$19</f>
        <v>YANT</v>
      </c>
      <c r="B111" s="127">
        <f>METAS!$AU$96</f>
        <v>244</v>
      </c>
      <c r="C111" s="99">
        <f>ROUNDUP((B111/12)*Config!$C$6,0)</f>
        <v>102</v>
      </c>
      <c r="D111" s="127">
        <f>ACUMULADO!$AW$9</f>
        <v>1</v>
      </c>
      <c r="E111" s="128">
        <f t="shared" si="34"/>
        <v>41.666666666666671</v>
      </c>
      <c r="F111" s="138"/>
      <c r="G111" s="133">
        <f t="shared" si="30"/>
        <v>0.41</v>
      </c>
      <c r="H111" s="134">
        <f t="shared" si="31"/>
        <v>0.41</v>
      </c>
      <c r="I111" s="134" t="str">
        <f t="shared" si="32"/>
        <v/>
      </c>
      <c r="J111" s="135" t="str">
        <f t="shared" si="33"/>
        <v/>
      </c>
      <c r="T111" s="18"/>
      <c r="V111" s="105"/>
      <c r="W111" s="98"/>
    </row>
    <row r="112" spans="1:527" ht="18" customHeight="1" x14ac:dyDescent="0.25">
      <c r="A112" s="132" t="str">
        <f>Config!$B$20</f>
        <v>SORI</v>
      </c>
      <c r="B112" s="127">
        <f>METAS!$AV$96</f>
        <v>590</v>
      </c>
      <c r="C112" s="99">
        <f>ROUNDUP((B112/12)*Config!$C$6,0)</f>
        <v>246</v>
      </c>
      <c r="D112" s="127">
        <f>ACUMULADO!$AX$9</f>
        <v>114</v>
      </c>
      <c r="E112" s="128">
        <f t="shared" si="34"/>
        <v>41.666666666666671</v>
      </c>
      <c r="F112" s="138"/>
      <c r="G112" s="133">
        <f t="shared" si="30"/>
        <v>19.32</v>
      </c>
      <c r="H112" s="134">
        <f t="shared" si="31"/>
        <v>19.32</v>
      </c>
      <c r="I112" s="134" t="str">
        <f t="shared" si="32"/>
        <v/>
      </c>
      <c r="J112" s="135" t="str">
        <f t="shared" si="33"/>
        <v/>
      </c>
      <c r="T112" s="18"/>
      <c r="V112" s="105"/>
      <c r="W112" s="98"/>
    </row>
    <row r="113" spans="1:23" ht="18" customHeight="1" x14ac:dyDescent="0.25">
      <c r="A113" s="132" t="str">
        <f>Config!$B$21</f>
        <v>JEPE</v>
      </c>
      <c r="B113" s="127">
        <f>METAS!$AW$96</f>
        <v>220</v>
      </c>
      <c r="C113" s="99">
        <f>ROUNDUP((B113/12)*Config!$C$6,0)</f>
        <v>92</v>
      </c>
      <c r="D113" s="127">
        <f>ACUMULADO!$AY$9</f>
        <v>16</v>
      </c>
      <c r="E113" s="128">
        <f t="shared" si="34"/>
        <v>41.666666666666671</v>
      </c>
      <c r="F113" s="138"/>
      <c r="G113" s="133">
        <f>IFERROR(ROUND(D113*100/B113,2),0)</f>
        <v>7.27</v>
      </c>
      <c r="H113" s="134">
        <f t="shared" si="31"/>
        <v>7.27</v>
      </c>
      <c r="I113" s="134" t="str">
        <f t="shared" si="32"/>
        <v/>
      </c>
      <c r="J113" s="135" t="str">
        <f t="shared" si="33"/>
        <v/>
      </c>
      <c r="T113" s="18"/>
      <c r="V113" s="105"/>
      <c r="W113" s="98"/>
    </row>
    <row r="114" spans="1:23" ht="18" customHeight="1" x14ac:dyDescent="0.25">
      <c r="A114" s="132" t="str">
        <f>Config!$B$22</f>
        <v>ROQU</v>
      </c>
      <c r="B114" s="127">
        <f>METAS!$AX$96</f>
        <v>227</v>
      </c>
      <c r="C114" s="99">
        <f>ROUNDUP((B114/12)*Config!$C$6,0)</f>
        <v>95</v>
      </c>
      <c r="D114" s="127">
        <f>ACUMULADO!$AZ$9</f>
        <v>51</v>
      </c>
      <c r="E114" s="128">
        <f t="shared" si="34"/>
        <v>41.666666666666671</v>
      </c>
      <c r="F114" s="138"/>
      <c r="G114" s="133">
        <f>IFERROR(ROUND(D114*100/B114,2),0)</f>
        <v>22.47</v>
      </c>
      <c r="H114" s="134">
        <f t="shared" si="31"/>
        <v>22.47</v>
      </c>
      <c r="I114" s="134" t="str">
        <f t="shared" si="32"/>
        <v/>
      </c>
      <c r="J114" s="135" t="str">
        <f t="shared" si="33"/>
        <v/>
      </c>
      <c r="T114" s="18"/>
      <c r="W114" s="98"/>
    </row>
    <row r="115" spans="1:23" ht="18" customHeight="1" x14ac:dyDescent="0.25">
      <c r="A115" s="132" t="str">
        <f>Config!$B$23</f>
        <v>CALZ</v>
      </c>
      <c r="B115" s="127">
        <f>METAS!$AY$96</f>
        <v>176</v>
      </c>
      <c r="C115" s="99">
        <f>ROUNDUP((B115/12)*Config!$C$6,0)</f>
        <v>74</v>
      </c>
      <c r="D115" s="127">
        <f>ACUMULADO!$BA$9</f>
        <v>1</v>
      </c>
      <c r="E115" s="128">
        <f t="shared" si="34"/>
        <v>41.666666666666671</v>
      </c>
      <c r="F115" s="138"/>
      <c r="G115" s="133">
        <f t="shared" ref="G115:G116" si="35">IFERROR(ROUND(D115*100/B115,2),0)</f>
        <v>0.56999999999999995</v>
      </c>
      <c r="H115" s="134">
        <f t="shared" si="31"/>
        <v>0.56999999999999995</v>
      </c>
      <c r="I115" s="134" t="str">
        <f t="shared" si="32"/>
        <v/>
      </c>
      <c r="J115" s="135" t="str">
        <f t="shared" si="33"/>
        <v/>
      </c>
      <c r="T115" s="18"/>
      <c r="W115" s="98"/>
    </row>
    <row r="116" spans="1:23" ht="18" customHeight="1" x14ac:dyDescent="0.25">
      <c r="A116" s="132" t="str">
        <f>Config!$B$24</f>
        <v>PUEB</v>
      </c>
      <c r="B116" s="127">
        <f>METAS!$AZ$96</f>
        <v>199</v>
      </c>
      <c r="C116" s="99">
        <f>ROUNDUP((B116/12)*Config!$C$6,0)</f>
        <v>83</v>
      </c>
      <c r="D116" s="127">
        <f>ACUMULADO!$BB$9</f>
        <v>14</v>
      </c>
      <c r="E116" s="128">
        <f t="shared" si="34"/>
        <v>41.666666666666671</v>
      </c>
      <c r="F116" s="138"/>
      <c r="G116" s="133">
        <f t="shared" si="35"/>
        <v>7.04</v>
      </c>
      <c r="H116" s="134">
        <f t="shared" si="31"/>
        <v>7.04</v>
      </c>
      <c r="I116" s="134" t="str">
        <f t="shared" si="32"/>
        <v/>
      </c>
      <c r="J116" s="135" t="str">
        <f t="shared" si="33"/>
        <v/>
      </c>
      <c r="T116" s="18"/>
      <c r="W116" s="98"/>
    </row>
    <row r="117" spans="1:23" ht="18" customHeight="1" x14ac:dyDescent="0.25">
      <c r="D117" s="101"/>
      <c r="I117" s="48"/>
      <c r="J117" s="48"/>
      <c r="T117" s="18"/>
      <c r="W117" s="98"/>
    </row>
    <row r="118" spans="1:23" ht="18" customHeight="1" x14ac:dyDescent="0.25">
      <c r="I118" s="48"/>
      <c r="J118" s="48"/>
      <c r="T118" s="18"/>
      <c r="W118" s="98"/>
    </row>
    <row r="119" spans="1:23" ht="18" customHeight="1" x14ac:dyDescent="0.25">
      <c r="I119" s="48"/>
      <c r="J119" s="48"/>
      <c r="T119" s="18"/>
      <c r="W119" s="98"/>
    </row>
    <row r="120" spans="1:23" ht="18" customHeight="1" x14ac:dyDescent="0.25">
      <c r="A120" s="139"/>
      <c r="B120" s="103"/>
      <c r="D120" s="103"/>
      <c r="E120" s="103"/>
      <c r="I120" s="103"/>
      <c r="J120" s="103"/>
      <c r="T120" s="18"/>
      <c r="W120" s="98"/>
    </row>
    <row r="121" spans="1:23" ht="18" customHeight="1" x14ac:dyDescent="0.25">
      <c r="A121" s="139"/>
      <c r="B121" s="103"/>
      <c r="D121" s="103"/>
      <c r="E121" s="103"/>
      <c r="I121" s="103"/>
      <c r="J121" s="103"/>
      <c r="T121" s="18"/>
      <c r="W121" s="98"/>
    </row>
    <row r="122" spans="1:23" ht="18" customHeight="1" x14ac:dyDescent="0.25">
      <c r="A122" s="139"/>
      <c r="B122" s="103"/>
      <c r="D122" s="103"/>
      <c r="E122" s="103"/>
      <c r="I122" s="103"/>
      <c r="J122" s="103"/>
      <c r="T122" s="18"/>
      <c r="W122" s="98"/>
    </row>
    <row r="123" spans="1:23" ht="18" customHeight="1" x14ac:dyDescent="0.25">
      <c r="A123" s="139"/>
      <c r="B123" s="103"/>
      <c r="D123" s="103"/>
      <c r="E123" s="103"/>
      <c r="I123" s="103"/>
      <c r="J123" s="103"/>
      <c r="T123" s="18"/>
      <c r="W123" s="98"/>
    </row>
    <row r="124" spans="1:23" ht="18" customHeight="1" x14ac:dyDescent="0.25">
      <c r="A124" s="140"/>
      <c r="B124" s="103"/>
      <c r="D124" s="103"/>
      <c r="E124" s="103"/>
      <c r="I124" s="103"/>
      <c r="J124" s="103"/>
      <c r="T124" s="18"/>
      <c r="W124" s="98"/>
    </row>
    <row r="125" spans="1:23" ht="18" customHeight="1" x14ac:dyDescent="0.25">
      <c r="A125" s="141" t="str">
        <f>METAS!B97</f>
        <v>NIÑO &lt;1 AÑO CON 2 ROTAVIRUS Y 2 NEUMOCOCO</v>
      </c>
      <c r="B125" s="103"/>
      <c r="D125" s="103"/>
      <c r="E125" s="103"/>
      <c r="I125" s="103"/>
      <c r="J125" s="103"/>
      <c r="T125" s="18"/>
      <c r="V125" s="97" t="str">
        <f>A125</f>
        <v>NIÑO &lt;1 AÑO CON 2 ROTAVIRUS Y 2 NEUMOCOCO</v>
      </c>
      <c r="W125" s="98"/>
    </row>
    <row r="126" spans="1:23" ht="48" customHeight="1" x14ac:dyDescent="0.25">
      <c r="A126" s="107" t="s">
        <v>2</v>
      </c>
      <c r="B126" s="108" t="s">
        <v>164</v>
      </c>
      <c r="C126" s="109" t="s">
        <v>71</v>
      </c>
      <c r="D126" s="108" t="s">
        <v>271</v>
      </c>
      <c r="E126" s="108" t="s">
        <v>1</v>
      </c>
      <c r="F126" s="110"/>
      <c r="G126" s="111" t="s">
        <v>10</v>
      </c>
      <c r="H126" s="112" t="str">
        <f>"DEFICIENTE &lt;= "&amp;$E$3</f>
        <v>DEFICIENTE &lt;= 37,5</v>
      </c>
      <c r="I126" s="112" t="str">
        <f>"PROCESO &gt; "&amp;$E$3&amp;"  -  &lt; "&amp;$F$3</f>
        <v>PROCESO &gt; 37,5  -  &lt; 41,7</v>
      </c>
      <c r="J126" s="112" t="str">
        <f>"OPTIMO &gt;= "&amp;$F$3</f>
        <v>OPTIMO &gt;= 41,7</v>
      </c>
      <c r="T126" s="18"/>
      <c r="V126" s="122" t="str">
        <f>V$1&amp;"  "&amp;V125&amp;"  "&amp;$V$3&amp;"  "&amp;$V$2</f>
        <v>RED. MOYOBAMBA:  NIÑO &lt;1 AÑO CON 2 ROTAVIRUS Y 2 NEUMOCOCO  - POR MICROREDES :   ENERO - MAYO 2022</v>
      </c>
      <c r="W126" s="98"/>
    </row>
    <row r="127" spans="1:23" ht="18" customHeight="1" thickBot="1" x14ac:dyDescent="0.3">
      <c r="A127" s="118" t="str">
        <f>Config!$B$15</f>
        <v>RED</v>
      </c>
      <c r="B127" s="119">
        <f>SUM(B128:B136)</f>
        <v>2457</v>
      </c>
      <c r="C127" s="119">
        <f>SUM(C128:C136)</f>
        <v>1027</v>
      </c>
      <c r="D127" s="119">
        <f>SUM(D128:D136)</f>
        <v>733</v>
      </c>
      <c r="E127" s="119">
        <f>Config!$C$9</f>
        <v>41.666666666666671</v>
      </c>
      <c r="F127" s="120"/>
      <c r="G127" s="119">
        <f t="shared" ref="G127:G132" si="36">IFERROR(ROUND(D127*100/B127,2),0)</f>
        <v>29.83</v>
      </c>
      <c r="H127" s="121">
        <f t="shared" ref="H127:H136" si="37">IF(G127&lt;=$E$3,G127,"")</f>
        <v>29.83</v>
      </c>
      <c r="I127" s="121" t="str">
        <f t="shared" ref="I127:I136" si="38">IF(G127&gt;$E$3,IF(G127&lt;$F$3,G127,""),"")</f>
        <v/>
      </c>
      <c r="J127" s="119" t="str">
        <f t="shared" ref="J127:J136" si="39">IF(G127&gt;=$F$3,G127,"")</f>
        <v/>
      </c>
      <c r="T127" s="18"/>
      <c r="V127" s="97"/>
      <c r="W127" s="98"/>
    </row>
    <row r="128" spans="1:23" ht="18" customHeight="1" x14ac:dyDescent="0.25">
      <c r="A128" s="126" t="str">
        <f>Config!$B$16</f>
        <v>HOSP</v>
      </c>
      <c r="B128" s="127">
        <f>METAS!$AR$97</f>
        <v>0</v>
      </c>
      <c r="C128" s="127">
        <f>ROUNDUP((B128/12)*Config!$C$6,0)</f>
        <v>0</v>
      </c>
      <c r="D128" s="127">
        <f>ACUMULADO!$AT$10</f>
        <v>0</v>
      </c>
      <c r="E128" s="128">
        <f>E127</f>
        <v>41.666666666666671</v>
      </c>
      <c r="F128" s="128"/>
      <c r="G128" s="129">
        <f t="shared" si="36"/>
        <v>0</v>
      </c>
      <c r="H128" s="130">
        <f t="shared" si="37"/>
        <v>0</v>
      </c>
      <c r="I128" s="130" t="str">
        <f t="shared" si="38"/>
        <v/>
      </c>
      <c r="J128" s="131" t="str">
        <f t="shared" si="39"/>
        <v/>
      </c>
      <c r="T128" s="18"/>
      <c r="V128" s="97"/>
      <c r="W128" s="98"/>
    </row>
    <row r="129" spans="1:23" ht="18" customHeight="1" x14ac:dyDescent="0.25">
      <c r="A129" s="132" t="str">
        <f>Config!$B$17</f>
        <v>LLUI</v>
      </c>
      <c r="B129" s="127">
        <f>METAS!$AS$97</f>
        <v>1017</v>
      </c>
      <c r="C129" s="99">
        <f>ROUNDUP((B129/12)*Config!$C$6,0)</f>
        <v>424</v>
      </c>
      <c r="D129" s="127">
        <f>ACUMULADO!$AU$10</f>
        <v>301</v>
      </c>
      <c r="E129" s="128">
        <f t="shared" ref="E129:E136" si="40">E128</f>
        <v>41.666666666666671</v>
      </c>
      <c r="F129" s="138"/>
      <c r="G129" s="133">
        <f t="shared" si="36"/>
        <v>29.6</v>
      </c>
      <c r="H129" s="134">
        <f t="shared" si="37"/>
        <v>29.6</v>
      </c>
      <c r="I129" s="134" t="str">
        <f t="shared" si="38"/>
        <v/>
      </c>
      <c r="J129" s="135" t="str">
        <f t="shared" si="39"/>
        <v/>
      </c>
      <c r="T129" s="18"/>
      <c r="V129" s="97"/>
      <c r="W129" s="98"/>
    </row>
    <row r="130" spans="1:23" ht="18" customHeight="1" x14ac:dyDescent="0.25">
      <c r="A130" s="132" t="str">
        <f>Config!$B$18</f>
        <v>JERI</v>
      </c>
      <c r="B130" s="127">
        <f>METAS!$AT$97</f>
        <v>93</v>
      </c>
      <c r="C130" s="99">
        <f>ROUNDUP((B130/12)*Config!$C$6,0)</f>
        <v>39</v>
      </c>
      <c r="D130" s="127">
        <f>ACUMULADO!$AV$10</f>
        <v>52</v>
      </c>
      <c r="E130" s="128">
        <f t="shared" si="40"/>
        <v>41.666666666666671</v>
      </c>
      <c r="F130" s="138"/>
      <c r="G130" s="133">
        <f t="shared" si="36"/>
        <v>55.91</v>
      </c>
      <c r="H130" s="134" t="str">
        <f t="shared" si="37"/>
        <v/>
      </c>
      <c r="I130" s="134" t="str">
        <f t="shared" si="38"/>
        <v/>
      </c>
      <c r="J130" s="135">
        <f t="shared" si="39"/>
        <v>55.91</v>
      </c>
      <c r="T130" s="18"/>
      <c r="V130" s="105"/>
      <c r="W130" s="98"/>
    </row>
    <row r="131" spans="1:23" ht="18" customHeight="1" x14ac:dyDescent="0.25">
      <c r="A131" s="132" t="str">
        <f>Config!$B$19</f>
        <v>YANT</v>
      </c>
      <c r="B131" s="127">
        <f>METAS!$AU$97</f>
        <v>196</v>
      </c>
      <c r="C131" s="99">
        <f>ROUNDUP((B131/12)*Config!$C$6,0)</f>
        <v>82</v>
      </c>
      <c r="D131" s="127">
        <f>ACUMULADO!$AW$10</f>
        <v>58</v>
      </c>
      <c r="E131" s="128">
        <f t="shared" si="40"/>
        <v>41.666666666666671</v>
      </c>
      <c r="F131" s="138"/>
      <c r="G131" s="133">
        <f t="shared" si="36"/>
        <v>29.59</v>
      </c>
      <c r="H131" s="134">
        <f t="shared" si="37"/>
        <v>29.59</v>
      </c>
      <c r="I131" s="134" t="str">
        <f t="shared" si="38"/>
        <v/>
      </c>
      <c r="J131" s="135" t="str">
        <f t="shared" si="39"/>
        <v/>
      </c>
      <c r="T131" s="18"/>
      <c r="V131" s="105"/>
      <c r="W131" s="98"/>
    </row>
    <row r="132" spans="1:23" ht="18" customHeight="1" x14ac:dyDescent="0.25">
      <c r="A132" s="132" t="str">
        <f>Config!$B$20</f>
        <v>SORI</v>
      </c>
      <c r="B132" s="127">
        <f>METAS!$AV$97</f>
        <v>481</v>
      </c>
      <c r="C132" s="99">
        <f>ROUNDUP((B132/12)*Config!$C$6,0)</f>
        <v>201</v>
      </c>
      <c r="D132" s="127">
        <f>ACUMULADO!$AX$10</f>
        <v>159</v>
      </c>
      <c r="E132" s="128">
        <f t="shared" si="40"/>
        <v>41.666666666666671</v>
      </c>
      <c r="F132" s="138"/>
      <c r="G132" s="133">
        <f t="shared" si="36"/>
        <v>33.06</v>
      </c>
      <c r="H132" s="134">
        <f t="shared" si="37"/>
        <v>33.06</v>
      </c>
      <c r="I132" s="134" t="str">
        <f t="shared" si="38"/>
        <v/>
      </c>
      <c r="J132" s="135" t="str">
        <f t="shared" si="39"/>
        <v/>
      </c>
      <c r="T132" s="18"/>
      <c r="V132" s="105"/>
      <c r="W132" s="98"/>
    </row>
    <row r="133" spans="1:23" ht="18" customHeight="1" x14ac:dyDescent="0.25">
      <c r="A133" s="132" t="str">
        <f>Config!$B$21</f>
        <v>JEPE</v>
      </c>
      <c r="B133" s="127">
        <f>METAS!$AW$97</f>
        <v>179</v>
      </c>
      <c r="C133" s="99">
        <f>ROUNDUP((B133/12)*Config!$C$6,0)</f>
        <v>75</v>
      </c>
      <c r="D133" s="127">
        <f>ACUMULADO!$AY$10</f>
        <v>62</v>
      </c>
      <c r="E133" s="128">
        <f t="shared" si="40"/>
        <v>41.666666666666671</v>
      </c>
      <c r="F133" s="138"/>
      <c r="G133" s="133">
        <f>IFERROR(ROUND(D133*100/B133,2),0)</f>
        <v>34.64</v>
      </c>
      <c r="H133" s="134">
        <f t="shared" si="37"/>
        <v>34.64</v>
      </c>
      <c r="I133" s="134" t="str">
        <f t="shared" si="38"/>
        <v/>
      </c>
      <c r="J133" s="135" t="str">
        <f t="shared" si="39"/>
        <v/>
      </c>
      <c r="T133" s="18"/>
      <c r="V133" s="105"/>
      <c r="W133" s="98"/>
    </row>
    <row r="134" spans="1:23" ht="18" customHeight="1" x14ac:dyDescent="0.25">
      <c r="A134" s="132" t="str">
        <f>Config!$B$22</f>
        <v>ROQU</v>
      </c>
      <c r="B134" s="127">
        <f>METAS!$AX$97</f>
        <v>185</v>
      </c>
      <c r="C134" s="99">
        <f>ROUNDUP((B134/12)*Config!$C$6,0)</f>
        <v>78</v>
      </c>
      <c r="D134" s="127">
        <f>ACUMULADO!$AZ$10</f>
        <v>40</v>
      </c>
      <c r="E134" s="128">
        <f t="shared" si="40"/>
        <v>41.666666666666671</v>
      </c>
      <c r="F134" s="138"/>
      <c r="G134" s="133">
        <f>IFERROR(ROUND(D134*100/B134,2),0)</f>
        <v>21.62</v>
      </c>
      <c r="H134" s="134">
        <f t="shared" si="37"/>
        <v>21.62</v>
      </c>
      <c r="I134" s="134" t="str">
        <f t="shared" si="38"/>
        <v/>
      </c>
      <c r="J134" s="135" t="str">
        <f t="shared" si="39"/>
        <v/>
      </c>
      <c r="T134" s="18"/>
      <c r="V134" s="105"/>
      <c r="W134" s="98"/>
    </row>
    <row r="135" spans="1:23" ht="18" customHeight="1" x14ac:dyDescent="0.25">
      <c r="A135" s="132" t="str">
        <f>Config!$B$23</f>
        <v>CALZ</v>
      </c>
      <c r="B135" s="127">
        <f>METAS!$AY$97</f>
        <v>144</v>
      </c>
      <c r="C135" s="99">
        <f>ROUNDUP((B135/12)*Config!$C$6,0)</f>
        <v>60</v>
      </c>
      <c r="D135" s="127">
        <f>ACUMULADO!$BA$10</f>
        <v>23</v>
      </c>
      <c r="E135" s="128">
        <f t="shared" si="40"/>
        <v>41.666666666666671</v>
      </c>
      <c r="F135" s="138"/>
      <c r="G135" s="133">
        <f t="shared" ref="G135:G136" si="41">IFERROR(ROUND(D135*100/B135,2),0)</f>
        <v>15.97</v>
      </c>
      <c r="H135" s="134">
        <f t="shared" si="37"/>
        <v>15.97</v>
      </c>
      <c r="I135" s="134" t="str">
        <f t="shared" si="38"/>
        <v/>
      </c>
      <c r="J135" s="135" t="str">
        <f t="shared" si="39"/>
        <v/>
      </c>
      <c r="T135" s="18"/>
      <c r="W135" s="98"/>
    </row>
    <row r="136" spans="1:23" ht="18" customHeight="1" x14ac:dyDescent="0.25">
      <c r="A136" s="132" t="str">
        <f>Config!$B$24</f>
        <v>PUEB</v>
      </c>
      <c r="B136" s="127">
        <f>METAS!$AZ$97</f>
        <v>162</v>
      </c>
      <c r="C136" s="99">
        <f>ROUNDUP((B136/12)*Config!$C$6,0)</f>
        <v>68</v>
      </c>
      <c r="D136" s="127">
        <f>ACUMULADO!$BB$10</f>
        <v>38</v>
      </c>
      <c r="E136" s="128">
        <f t="shared" si="40"/>
        <v>41.666666666666671</v>
      </c>
      <c r="F136" s="138"/>
      <c r="G136" s="133">
        <f t="shared" si="41"/>
        <v>23.46</v>
      </c>
      <c r="H136" s="134">
        <f t="shared" si="37"/>
        <v>23.46</v>
      </c>
      <c r="I136" s="134" t="str">
        <f t="shared" si="38"/>
        <v/>
      </c>
      <c r="J136" s="135" t="str">
        <f t="shared" si="39"/>
        <v/>
      </c>
      <c r="T136" s="18"/>
      <c r="W136" s="98"/>
    </row>
    <row r="137" spans="1:23" ht="18" customHeight="1" x14ac:dyDescent="0.25">
      <c r="D137" s="101"/>
      <c r="I137" s="48"/>
      <c r="J137" s="48"/>
      <c r="T137" s="18"/>
      <c r="W137" s="98"/>
    </row>
    <row r="138" spans="1:23" ht="18" customHeight="1" x14ac:dyDescent="0.25">
      <c r="I138" s="48"/>
      <c r="J138" s="48"/>
      <c r="T138" s="18"/>
      <c r="W138" s="98"/>
    </row>
    <row r="139" spans="1:23" ht="18" customHeight="1" x14ac:dyDescent="0.25">
      <c r="I139" s="48"/>
      <c r="J139" s="48"/>
      <c r="T139" s="18"/>
      <c r="W139" s="98"/>
    </row>
    <row r="140" spans="1:23" ht="18" customHeight="1" x14ac:dyDescent="0.25">
      <c r="A140" s="139"/>
      <c r="B140" s="103"/>
      <c r="D140" s="103"/>
      <c r="E140" s="103"/>
      <c r="I140" s="103"/>
      <c r="J140" s="103"/>
      <c r="T140" s="18"/>
      <c r="W140" s="98"/>
    </row>
    <row r="141" spans="1:23" ht="18" customHeight="1" x14ac:dyDescent="0.25">
      <c r="A141" s="139"/>
      <c r="B141" s="103"/>
      <c r="D141" s="103"/>
      <c r="E141" s="103"/>
      <c r="I141" s="103"/>
      <c r="J141" s="103"/>
      <c r="T141" s="18"/>
      <c r="W141" s="98"/>
    </row>
    <row r="142" spans="1:23" ht="18" customHeight="1" x14ac:dyDescent="0.25">
      <c r="A142" s="139"/>
      <c r="B142" s="103"/>
      <c r="D142" s="103"/>
      <c r="E142" s="103"/>
      <c r="I142" s="103"/>
      <c r="J142" s="103"/>
      <c r="T142" s="18"/>
      <c r="W142" s="98"/>
    </row>
    <row r="143" spans="1:23" ht="18" customHeight="1" x14ac:dyDescent="0.25">
      <c r="A143" s="139"/>
      <c r="B143" s="103"/>
      <c r="D143" s="103"/>
      <c r="E143" s="103"/>
      <c r="I143" s="103"/>
      <c r="J143" s="103"/>
      <c r="T143" s="18"/>
      <c r="W143" s="98"/>
    </row>
    <row r="144" spans="1:23" ht="18" customHeight="1" x14ac:dyDescent="0.25">
      <c r="A144" s="139"/>
      <c r="B144" s="103"/>
      <c r="D144" s="103"/>
      <c r="E144" s="103"/>
      <c r="I144" s="103"/>
      <c r="J144" s="103"/>
      <c r="T144" s="18"/>
      <c r="W144" s="98"/>
    </row>
    <row r="145" spans="1:23" ht="18" customHeight="1" x14ac:dyDescent="0.25">
      <c r="I145" s="103"/>
      <c r="J145" s="103"/>
      <c r="T145" s="18"/>
      <c r="V145" s="97" t="str">
        <f>A146</f>
        <v>NIÑO &lt;1 AÑO CON 3 PENTAVALENTE Y 3 ANTIPOLIO</v>
      </c>
      <c r="W145" s="98"/>
    </row>
    <row r="146" spans="1:23" ht="18" customHeight="1" x14ac:dyDescent="0.25">
      <c r="A146" s="104" t="str">
        <f>METAS!B98</f>
        <v>NIÑO &lt;1 AÑO CON 3 PENTAVALENTE Y 3 ANTIPOLIO</v>
      </c>
      <c r="I146" s="103"/>
      <c r="J146" s="103"/>
      <c r="T146" s="18"/>
      <c r="V146" s="137" t="str">
        <f>$V$1&amp;"  "&amp;V145&amp;"  "&amp;$V$3&amp;"  "&amp;$V$2</f>
        <v>RED. MOYOBAMBA:  NIÑO &lt;1 AÑO CON 3 PENTAVALENTE Y 3 ANTIPOLIO  - POR MICROREDES :   ENERO - MAYO 2022</v>
      </c>
      <c r="W146" s="98"/>
    </row>
    <row r="147" spans="1:23" ht="48" customHeight="1" x14ac:dyDescent="0.25">
      <c r="A147" s="107" t="s">
        <v>2</v>
      </c>
      <c r="B147" s="108" t="s">
        <v>164</v>
      </c>
      <c r="C147" s="109" t="s">
        <v>71</v>
      </c>
      <c r="D147" s="108" t="s">
        <v>270</v>
      </c>
      <c r="E147" s="108" t="s">
        <v>1</v>
      </c>
      <c r="F147" s="110"/>
      <c r="G147" s="111" t="s">
        <v>10</v>
      </c>
      <c r="H147" s="112" t="str">
        <f>"DEFICIENTE &lt;= "&amp;$E$3</f>
        <v>DEFICIENTE &lt;= 37,5</v>
      </c>
      <c r="I147" s="112" t="str">
        <f>"PROCESO &gt; "&amp;$E$3&amp;"  -  &lt; "&amp;$F$3</f>
        <v>PROCESO &gt; 37,5  -  &lt; 41,7</v>
      </c>
      <c r="J147" s="112" t="str">
        <f>"OPTIMO &gt;= "&amp;$F$3</f>
        <v>OPTIMO &gt;= 41,7</v>
      </c>
      <c r="T147" s="18"/>
      <c r="V147" s="97"/>
      <c r="W147" s="98"/>
    </row>
    <row r="148" spans="1:23" ht="18" customHeight="1" thickBot="1" x14ac:dyDescent="0.3">
      <c r="A148" s="118" t="str">
        <f>Config!$B$15</f>
        <v>RED</v>
      </c>
      <c r="B148" s="119">
        <f>SUM(B149:B157)</f>
        <v>2457</v>
      </c>
      <c r="C148" s="119">
        <f>SUM(C149:C157)</f>
        <v>1027</v>
      </c>
      <c r="D148" s="119">
        <f>SUM(D149:D157)</f>
        <v>871</v>
      </c>
      <c r="E148" s="119">
        <f>Config!$C$9</f>
        <v>41.666666666666671</v>
      </c>
      <c r="F148" s="120"/>
      <c r="G148" s="119">
        <f t="shared" ref="G148:G153" si="42">IFERROR(ROUND(D148*100/B148,2),0)</f>
        <v>35.450000000000003</v>
      </c>
      <c r="H148" s="121">
        <f t="shared" ref="H148:H157" si="43">IF(G148&lt;=$E$3,G148,"")</f>
        <v>35.450000000000003</v>
      </c>
      <c r="I148" s="121" t="str">
        <f t="shared" ref="I148:I157" si="44">IF(G148&gt;$E$3,IF(G148&lt;$F$3,G148,""),"")</f>
        <v/>
      </c>
      <c r="J148" s="119" t="str">
        <f t="shared" ref="J148:J157" si="45">IF(G148&gt;=$F$3,G148,"")</f>
        <v/>
      </c>
      <c r="T148" s="18"/>
      <c r="V148" s="97"/>
      <c r="W148" s="98"/>
    </row>
    <row r="149" spans="1:23" ht="18" customHeight="1" x14ac:dyDescent="0.25">
      <c r="A149" s="126" t="str">
        <f>Config!$B$16</f>
        <v>HOSP</v>
      </c>
      <c r="B149" s="127">
        <f>METAS!$AR$98</f>
        <v>0</v>
      </c>
      <c r="C149" s="127">
        <f>ROUNDUP((B149/12)*Config!$C$6,0)</f>
        <v>0</v>
      </c>
      <c r="D149" s="127">
        <f>ACUMULADO!$AT$11</f>
        <v>0</v>
      </c>
      <c r="E149" s="128">
        <f>E148</f>
        <v>41.666666666666671</v>
      </c>
      <c r="F149" s="128"/>
      <c r="G149" s="129">
        <f t="shared" si="42"/>
        <v>0</v>
      </c>
      <c r="H149" s="130">
        <f t="shared" si="43"/>
        <v>0</v>
      </c>
      <c r="I149" s="130" t="str">
        <f t="shared" si="44"/>
        <v/>
      </c>
      <c r="J149" s="131" t="str">
        <f t="shared" si="45"/>
        <v/>
      </c>
      <c r="T149" s="18"/>
      <c r="V149" s="97"/>
      <c r="W149" s="98"/>
    </row>
    <row r="150" spans="1:23" ht="18" customHeight="1" x14ac:dyDescent="0.25">
      <c r="A150" s="132" t="str">
        <f>Config!$B$17</f>
        <v>LLUI</v>
      </c>
      <c r="B150" s="127">
        <f>METAS!$AS$98</f>
        <v>1017</v>
      </c>
      <c r="C150" s="99">
        <f>ROUNDUP((B150/12)*Config!$C$6,0)</f>
        <v>424</v>
      </c>
      <c r="D150" s="127">
        <f>ACUMULADO!$AU$11</f>
        <v>374</v>
      </c>
      <c r="E150" s="128">
        <f t="shared" ref="E150:E157" si="46">E149</f>
        <v>41.666666666666671</v>
      </c>
      <c r="F150" s="138"/>
      <c r="G150" s="133">
        <f t="shared" si="42"/>
        <v>36.770000000000003</v>
      </c>
      <c r="H150" s="134">
        <f t="shared" si="43"/>
        <v>36.770000000000003</v>
      </c>
      <c r="I150" s="134" t="str">
        <f t="shared" si="44"/>
        <v/>
      </c>
      <c r="J150" s="135" t="str">
        <f t="shared" si="45"/>
        <v/>
      </c>
      <c r="T150" s="18"/>
      <c r="V150" s="97"/>
      <c r="W150" s="98"/>
    </row>
    <row r="151" spans="1:23" ht="18" customHeight="1" x14ac:dyDescent="0.25">
      <c r="A151" s="132" t="str">
        <f>Config!$B$18</f>
        <v>JERI</v>
      </c>
      <c r="B151" s="127">
        <f>METAS!$AT$98</f>
        <v>93</v>
      </c>
      <c r="C151" s="99">
        <f>ROUNDUP((B151/12)*Config!$C$6,0)</f>
        <v>39</v>
      </c>
      <c r="D151" s="127">
        <f>ACUMULADO!$AV$11</f>
        <v>43</v>
      </c>
      <c r="E151" s="128">
        <f t="shared" si="46"/>
        <v>41.666666666666671</v>
      </c>
      <c r="F151" s="138"/>
      <c r="G151" s="133">
        <f t="shared" si="42"/>
        <v>46.24</v>
      </c>
      <c r="H151" s="134" t="str">
        <f t="shared" si="43"/>
        <v/>
      </c>
      <c r="I151" s="134" t="str">
        <f t="shared" si="44"/>
        <v/>
      </c>
      <c r="J151" s="135">
        <f t="shared" si="45"/>
        <v>46.24</v>
      </c>
      <c r="T151" s="18"/>
      <c r="V151" s="105"/>
      <c r="W151" s="98"/>
    </row>
    <row r="152" spans="1:23" ht="18" customHeight="1" x14ac:dyDescent="0.25">
      <c r="A152" s="132" t="str">
        <f>Config!$B$19</f>
        <v>YANT</v>
      </c>
      <c r="B152" s="127">
        <f>METAS!$AU$98</f>
        <v>196</v>
      </c>
      <c r="C152" s="99">
        <f>ROUNDUP((B152/12)*Config!$C$6,0)</f>
        <v>82</v>
      </c>
      <c r="D152" s="127">
        <f>ACUMULADO!$AW$11</f>
        <v>61</v>
      </c>
      <c r="E152" s="128">
        <f t="shared" si="46"/>
        <v>41.666666666666671</v>
      </c>
      <c r="F152" s="138"/>
      <c r="G152" s="133">
        <f t="shared" si="42"/>
        <v>31.12</v>
      </c>
      <c r="H152" s="134">
        <f t="shared" si="43"/>
        <v>31.12</v>
      </c>
      <c r="I152" s="134" t="str">
        <f t="shared" si="44"/>
        <v/>
      </c>
      <c r="J152" s="135" t="str">
        <f t="shared" si="45"/>
        <v/>
      </c>
      <c r="T152" s="18"/>
      <c r="V152" s="105"/>
      <c r="W152" s="98"/>
    </row>
    <row r="153" spans="1:23" ht="18" customHeight="1" x14ac:dyDescent="0.25">
      <c r="A153" s="132" t="str">
        <f>Config!$B$20</f>
        <v>SORI</v>
      </c>
      <c r="B153" s="127">
        <f>METAS!$AV$98</f>
        <v>481</v>
      </c>
      <c r="C153" s="99">
        <f>ROUNDUP((B153/12)*Config!$C$6,0)</f>
        <v>201</v>
      </c>
      <c r="D153" s="127">
        <f>ACUMULADO!$AX$11</f>
        <v>184</v>
      </c>
      <c r="E153" s="128">
        <f t="shared" si="46"/>
        <v>41.666666666666671</v>
      </c>
      <c r="F153" s="138"/>
      <c r="G153" s="133">
        <f t="shared" si="42"/>
        <v>38.25</v>
      </c>
      <c r="H153" s="134" t="str">
        <f t="shared" si="43"/>
        <v/>
      </c>
      <c r="I153" s="134">
        <f t="shared" si="44"/>
        <v>38.25</v>
      </c>
      <c r="J153" s="135" t="str">
        <f t="shared" si="45"/>
        <v/>
      </c>
      <c r="T153" s="18"/>
      <c r="V153" s="105"/>
      <c r="W153" s="98"/>
    </row>
    <row r="154" spans="1:23" ht="18" customHeight="1" x14ac:dyDescent="0.25">
      <c r="A154" s="132" t="str">
        <f>Config!$B$21</f>
        <v>JEPE</v>
      </c>
      <c r="B154" s="127">
        <f>METAS!$AW$98</f>
        <v>179</v>
      </c>
      <c r="C154" s="99">
        <f>ROUNDUP((B154/12)*Config!$C$6,0)</f>
        <v>75</v>
      </c>
      <c r="D154" s="127">
        <f>ACUMULADO!$AY$11</f>
        <v>69</v>
      </c>
      <c r="E154" s="128">
        <f t="shared" si="46"/>
        <v>41.666666666666671</v>
      </c>
      <c r="F154" s="138"/>
      <c r="G154" s="133">
        <f>IFERROR(ROUND(D154*100/B154,2),0)</f>
        <v>38.549999999999997</v>
      </c>
      <c r="H154" s="134" t="str">
        <f t="shared" si="43"/>
        <v/>
      </c>
      <c r="I154" s="134">
        <f t="shared" si="44"/>
        <v>38.549999999999997</v>
      </c>
      <c r="J154" s="135" t="str">
        <f t="shared" si="45"/>
        <v/>
      </c>
      <c r="T154" s="18"/>
      <c r="W154" s="98"/>
    </row>
    <row r="155" spans="1:23" ht="18" customHeight="1" x14ac:dyDescent="0.25">
      <c r="A155" s="132" t="str">
        <f>Config!$B$22</f>
        <v>ROQU</v>
      </c>
      <c r="B155" s="127">
        <f>METAS!$AX$98</f>
        <v>185</v>
      </c>
      <c r="C155" s="99">
        <f>ROUNDUP((B155/12)*Config!$C$6,0)</f>
        <v>78</v>
      </c>
      <c r="D155" s="127">
        <f>ACUMULADO!$AZ$11</f>
        <v>55</v>
      </c>
      <c r="E155" s="128">
        <f t="shared" si="46"/>
        <v>41.666666666666671</v>
      </c>
      <c r="F155" s="138"/>
      <c r="G155" s="133">
        <f>IFERROR(ROUND(D155*100/B155,2),0)</f>
        <v>29.73</v>
      </c>
      <c r="H155" s="134">
        <f t="shared" si="43"/>
        <v>29.73</v>
      </c>
      <c r="I155" s="134" t="str">
        <f t="shared" si="44"/>
        <v/>
      </c>
      <c r="J155" s="135" t="str">
        <f t="shared" si="45"/>
        <v/>
      </c>
      <c r="T155" s="18"/>
      <c r="W155" s="98"/>
    </row>
    <row r="156" spans="1:23" ht="18" customHeight="1" x14ac:dyDescent="0.25">
      <c r="A156" s="132" t="str">
        <f>Config!$B$23</f>
        <v>CALZ</v>
      </c>
      <c r="B156" s="127">
        <f>METAS!$AY$98</f>
        <v>144</v>
      </c>
      <c r="C156" s="99">
        <f>ROUNDUP((B156/12)*Config!$C$6,0)</f>
        <v>60</v>
      </c>
      <c r="D156" s="127">
        <f>ACUMULADO!$BA$11</f>
        <v>48</v>
      </c>
      <c r="E156" s="128">
        <f t="shared" si="46"/>
        <v>41.666666666666671</v>
      </c>
      <c r="F156" s="138"/>
      <c r="G156" s="133">
        <f t="shared" ref="G156:G157" si="47">IFERROR(ROUND(D156*100/B156,2),0)</f>
        <v>33.33</v>
      </c>
      <c r="H156" s="134">
        <f t="shared" si="43"/>
        <v>33.33</v>
      </c>
      <c r="I156" s="134" t="str">
        <f t="shared" si="44"/>
        <v/>
      </c>
      <c r="J156" s="135" t="str">
        <f t="shared" si="45"/>
        <v/>
      </c>
      <c r="T156" s="18"/>
      <c r="W156" s="98"/>
    </row>
    <row r="157" spans="1:23" ht="18" customHeight="1" x14ac:dyDescent="0.25">
      <c r="A157" s="132" t="str">
        <f>Config!$B$24</f>
        <v>PUEB</v>
      </c>
      <c r="B157" s="127">
        <f>METAS!$AZ$98</f>
        <v>162</v>
      </c>
      <c r="C157" s="99">
        <f>ROUNDUP((B157/12)*Config!$C$6,0)</f>
        <v>68</v>
      </c>
      <c r="D157" s="127">
        <f>ACUMULADO!$BB$11</f>
        <v>37</v>
      </c>
      <c r="E157" s="128">
        <f t="shared" si="46"/>
        <v>41.666666666666671</v>
      </c>
      <c r="F157" s="138"/>
      <c r="G157" s="133">
        <f t="shared" si="47"/>
        <v>22.84</v>
      </c>
      <c r="H157" s="134">
        <f t="shared" si="43"/>
        <v>22.84</v>
      </c>
      <c r="I157" s="134" t="str">
        <f t="shared" si="44"/>
        <v/>
      </c>
      <c r="J157" s="135" t="str">
        <f t="shared" si="45"/>
        <v/>
      </c>
      <c r="T157" s="18"/>
      <c r="W157" s="98"/>
    </row>
    <row r="158" spans="1:23" ht="18" customHeight="1" x14ac:dyDescent="0.25">
      <c r="A158" s="139"/>
      <c r="B158" s="103"/>
      <c r="D158" s="101"/>
      <c r="E158" s="103"/>
      <c r="I158" s="103"/>
      <c r="J158" s="103"/>
      <c r="T158" s="18"/>
      <c r="W158" s="98"/>
    </row>
    <row r="159" spans="1:23" ht="18" customHeight="1" x14ac:dyDescent="0.25">
      <c r="A159" s="139"/>
      <c r="B159" s="103"/>
      <c r="D159" s="103"/>
      <c r="E159" s="103"/>
      <c r="I159" s="103"/>
      <c r="J159" s="103"/>
      <c r="T159" s="18"/>
      <c r="W159" s="98"/>
    </row>
    <row r="160" spans="1:23" ht="18" customHeight="1" x14ac:dyDescent="0.25">
      <c r="A160" s="139"/>
      <c r="B160" s="103"/>
      <c r="D160" s="103"/>
      <c r="E160" s="103"/>
      <c r="I160" s="103"/>
      <c r="J160" s="103"/>
      <c r="T160" s="18"/>
      <c r="W160" s="98"/>
    </row>
    <row r="161" spans="1:527" ht="18" customHeight="1" x14ac:dyDescent="0.25">
      <c r="A161" s="139"/>
      <c r="B161" s="103"/>
      <c r="D161" s="103"/>
      <c r="E161" s="103"/>
      <c r="I161" s="103"/>
      <c r="J161" s="103"/>
      <c r="T161" s="18"/>
      <c r="W161" s="98"/>
    </row>
    <row r="162" spans="1:527" ht="18" customHeight="1" x14ac:dyDescent="0.25">
      <c r="A162" s="139"/>
      <c r="B162" s="103"/>
      <c r="D162" s="103"/>
      <c r="E162" s="103"/>
      <c r="I162" s="103"/>
      <c r="J162" s="103"/>
      <c r="T162" s="18"/>
      <c r="W162" s="98"/>
    </row>
    <row r="163" spans="1:527" ht="18" customHeight="1" x14ac:dyDescent="0.25">
      <c r="A163" s="142"/>
      <c r="B163" s="103"/>
      <c r="D163" s="103"/>
      <c r="E163" s="103"/>
      <c r="I163" s="103"/>
      <c r="J163" s="103"/>
      <c r="T163" s="18"/>
      <c r="W163" s="98"/>
      <c r="PN163" s="48">
        <v>0</v>
      </c>
      <c r="PO163" s="48">
        <v>0</v>
      </c>
      <c r="PP163" s="48">
        <v>0</v>
      </c>
      <c r="PQ163" s="48">
        <v>0</v>
      </c>
      <c r="PR163" s="48">
        <v>0</v>
      </c>
      <c r="PS163" s="48">
        <v>0</v>
      </c>
      <c r="PT163" s="48">
        <v>0</v>
      </c>
      <c r="PU163" s="48">
        <v>0</v>
      </c>
      <c r="PV163" s="48">
        <v>0</v>
      </c>
      <c r="PW163" s="48">
        <v>0</v>
      </c>
      <c r="PX163" s="48">
        <v>0</v>
      </c>
      <c r="PY163" s="48">
        <v>0</v>
      </c>
      <c r="PZ163" s="48">
        <v>0</v>
      </c>
      <c r="QA163" s="48">
        <v>0</v>
      </c>
      <c r="QB163" s="48">
        <v>0</v>
      </c>
      <c r="QC163" s="48">
        <v>0</v>
      </c>
      <c r="QD163" s="48">
        <v>0</v>
      </c>
      <c r="QE163" s="48">
        <v>0</v>
      </c>
      <c r="QF163" s="48">
        <v>0</v>
      </c>
      <c r="QG163" s="48">
        <v>0</v>
      </c>
      <c r="QH163" s="48">
        <v>0</v>
      </c>
      <c r="QI163" s="48">
        <v>0</v>
      </c>
      <c r="QJ163" s="48">
        <v>0</v>
      </c>
      <c r="QK163" s="48">
        <v>0</v>
      </c>
      <c r="QL163" s="48">
        <v>0</v>
      </c>
      <c r="QM163" s="48">
        <v>0</v>
      </c>
      <c r="QN163" s="48">
        <v>0</v>
      </c>
      <c r="QO163" s="48">
        <v>0</v>
      </c>
      <c r="QP163" s="48">
        <v>0</v>
      </c>
      <c r="QQ163" s="48">
        <v>0</v>
      </c>
      <c r="QR163" s="48">
        <v>0</v>
      </c>
      <c r="QS163" s="48">
        <v>0</v>
      </c>
      <c r="QT163" s="48">
        <v>0</v>
      </c>
      <c r="QU163" s="48">
        <v>0</v>
      </c>
      <c r="QV163" s="48">
        <v>0</v>
      </c>
      <c r="QW163" s="48">
        <v>0</v>
      </c>
      <c r="QX163" s="48">
        <v>0</v>
      </c>
      <c r="QY163" s="48">
        <v>0</v>
      </c>
      <c r="QZ163" s="48">
        <v>0</v>
      </c>
      <c r="RA163" s="48">
        <v>0</v>
      </c>
      <c r="RB163" s="48">
        <v>0</v>
      </c>
      <c r="RC163" s="48">
        <v>0</v>
      </c>
      <c r="RD163" s="48">
        <v>0</v>
      </c>
      <c r="RE163" s="48">
        <v>0</v>
      </c>
      <c r="RF163" s="48">
        <v>0</v>
      </c>
      <c r="RG163" s="48">
        <v>0</v>
      </c>
      <c r="RH163" s="48">
        <v>0</v>
      </c>
      <c r="RI163" s="48">
        <v>0</v>
      </c>
      <c r="RJ163" s="48">
        <v>0</v>
      </c>
      <c r="RK163" s="48">
        <v>0</v>
      </c>
      <c r="RL163" s="48">
        <v>0</v>
      </c>
      <c r="RM163" s="48">
        <v>0</v>
      </c>
      <c r="RN163" s="48">
        <v>0</v>
      </c>
      <c r="RO163" s="48">
        <v>0</v>
      </c>
      <c r="RP163" s="48">
        <v>0</v>
      </c>
      <c r="RQ163" s="48">
        <v>0</v>
      </c>
      <c r="RR163" s="48">
        <v>0</v>
      </c>
      <c r="RS163" s="48">
        <v>0</v>
      </c>
      <c r="RT163" s="48">
        <v>0</v>
      </c>
      <c r="RU163" s="48">
        <v>0</v>
      </c>
      <c r="RV163" s="48">
        <v>0</v>
      </c>
      <c r="RW163" s="48">
        <v>0</v>
      </c>
      <c r="RX163" s="48">
        <v>0</v>
      </c>
      <c r="RY163" s="48">
        <v>0</v>
      </c>
      <c r="RZ163" s="48">
        <v>0</v>
      </c>
      <c r="SA163" s="48">
        <v>0</v>
      </c>
      <c r="SB163" s="48">
        <v>0</v>
      </c>
      <c r="SC163" s="48">
        <v>0</v>
      </c>
      <c r="SD163" s="48">
        <v>0</v>
      </c>
      <c r="SE163" s="48">
        <v>0</v>
      </c>
      <c r="SF163" s="48">
        <v>0</v>
      </c>
      <c r="SG163" s="48">
        <v>0</v>
      </c>
      <c r="SH163" s="48">
        <v>0</v>
      </c>
      <c r="SI163" s="48">
        <v>0</v>
      </c>
      <c r="SJ163" s="48">
        <v>0</v>
      </c>
      <c r="SK163" s="48">
        <v>0</v>
      </c>
      <c r="SL163" s="48">
        <v>0</v>
      </c>
      <c r="SM163" s="48">
        <v>0</v>
      </c>
      <c r="SN163" s="48">
        <v>0</v>
      </c>
      <c r="SO163" s="48">
        <v>0</v>
      </c>
      <c r="SP163" s="48">
        <v>0</v>
      </c>
      <c r="SQ163" s="48">
        <v>0</v>
      </c>
      <c r="SR163" s="48">
        <v>0</v>
      </c>
      <c r="SS163" s="48">
        <v>0</v>
      </c>
      <c r="ST163" s="48">
        <v>0</v>
      </c>
      <c r="SU163" s="48">
        <v>0</v>
      </c>
      <c r="SV163" s="48">
        <v>0</v>
      </c>
      <c r="SW163" s="48">
        <v>0</v>
      </c>
      <c r="SX163" s="48">
        <v>0</v>
      </c>
      <c r="SY163" s="48">
        <v>0</v>
      </c>
      <c r="SZ163" s="48">
        <v>0</v>
      </c>
      <c r="TA163" s="48">
        <v>0</v>
      </c>
      <c r="TB163" s="48">
        <v>0</v>
      </c>
      <c r="TC163" s="48">
        <v>0</v>
      </c>
      <c r="TD163" s="48">
        <v>0</v>
      </c>
      <c r="TE163" s="48">
        <v>0</v>
      </c>
      <c r="TF163" s="48">
        <v>0</v>
      </c>
      <c r="TG163" s="48">
        <v>0</v>
      </c>
    </row>
    <row r="164" spans="1:527" ht="18" customHeight="1" x14ac:dyDescent="0.25">
      <c r="A164" s="139"/>
      <c r="B164" s="103"/>
      <c r="D164" s="103"/>
      <c r="E164" s="103"/>
      <c r="I164" s="103"/>
      <c r="J164" s="103"/>
      <c r="T164" s="18"/>
      <c r="W164" s="98"/>
    </row>
    <row r="165" spans="1:527" ht="18" customHeight="1" x14ac:dyDescent="0.25">
      <c r="B165" s="103"/>
      <c r="D165" s="103"/>
      <c r="E165" s="103"/>
      <c r="I165" s="103"/>
      <c r="J165" s="103"/>
      <c r="T165" s="18"/>
      <c r="W165" s="98"/>
    </row>
    <row r="166" spans="1:527" ht="18" customHeight="1" x14ac:dyDescent="0.25">
      <c r="I166" s="103"/>
      <c r="J166" s="103"/>
      <c r="T166" s="18"/>
      <c r="V166" s="97" t="str">
        <f>A167</f>
        <v>NIÑO 1 AÑO CON 3 NEUMOCOCO Y 1 SPR</v>
      </c>
      <c r="W166" s="98"/>
    </row>
    <row r="167" spans="1:527" ht="18" customHeight="1" x14ac:dyDescent="0.25">
      <c r="A167" s="104" t="str">
        <f>METAS!B99</f>
        <v>NIÑO 1 AÑO CON 3 NEUMOCOCO Y 1 SPR</v>
      </c>
      <c r="I167" s="103"/>
      <c r="J167" s="103"/>
      <c r="T167" s="18"/>
      <c r="V167" s="137" t="str">
        <f>$V$1&amp;"  "&amp;V166&amp;"  "&amp;$V$3&amp;"  "&amp;$V$2</f>
        <v>RED. MOYOBAMBA:  NIÑO 1 AÑO CON 3 NEUMOCOCO Y 1 SPR  - POR MICROREDES :   ENERO - MAYO 2022</v>
      </c>
      <c r="W167" s="98"/>
    </row>
    <row r="168" spans="1:527" ht="48" customHeight="1" x14ac:dyDescent="0.25">
      <c r="A168" s="107" t="s">
        <v>2</v>
      </c>
      <c r="B168" s="108" t="s">
        <v>164</v>
      </c>
      <c r="C168" s="109" t="s">
        <v>71</v>
      </c>
      <c r="D168" s="108" t="s">
        <v>269</v>
      </c>
      <c r="E168" s="108" t="s">
        <v>1</v>
      </c>
      <c r="F168" s="110"/>
      <c r="G168" s="111" t="s">
        <v>10</v>
      </c>
      <c r="H168" s="112" t="str">
        <f>"DEFICIENTE &lt;= "&amp;$E$3</f>
        <v>DEFICIENTE &lt;= 37,5</v>
      </c>
      <c r="I168" s="112" t="str">
        <f>"PROCESO &gt; "&amp;$E$3&amp;"  -  &lt; "&amp;$F$3</f>
        <v>PROCESO &gt; 37,5  -  &lt; 41,7</v>
      </c>
      <c r="J168" s="112" t="str">
        <f>"OPTIMO &gt;= "&amp;$F$3</f>
        <v>OPTIMO &gt;= 41,7</v>
      </c>
      <c r="T168" s="18"/>
      <c r="V168" s="97"/>
      <c r="W168" s="98"/>
    </row>
    <row r="169" spans="1:527" ht="18" customHeight="1" thickBot="1" x14ac:dyDescent="0.3">
      <c r="A169" s="118" t="str">
        <f>Config!$B$15</f>
        <v>RED</v>
      </c>
      <c r="B169" s="119">
        <f>SUM(B170:B178)</f>
        <v>2436</v>
      </c>
      <c r="C169" s="119">
        <f>SUM(C170:C178)</f>
        <v>1018</v>
      </c>
      <c r="D169" s="119">
        <f>SUM(D170:D178)</f>
        <v>778</v>
      </c>
      <c r="E169" s="119">
        <f>Config!$C$9</f>
        <v>41.666666666666671</v>
      </c>
      <c r="F169" s="120"/>
      <c r="G169" s="119">
        <f t="shared" ref="G169:G174" si="48">IFERROR(ROUND(D169*100/B169,2),0)</f>
        <v>31.94</v>
      </c>
      <c r="H169" s="121">
        <f t="shared" ref="H169:H178" si="49">IF(G169&lt;=$E$3,G169,"")</f>
        <v>31.94</v>
      </c>
      <c r="I169" s="121" t="str">
        <f t="shared" ref="I169:I178" si="50">IF(G169&gt;$E$3,IF(G169&lt;$F$3,G169,""),"")</f>
        <v/>
      </c>
      <c r="J169" s="119" t="str">
        <f t="shared" ref="J169:J178" si="51">IF(G169&gt;=$F$3,G169,"")</f>
        <v/>
      </c>
      <c r="T169" s="18"/>
      <c r="V169" s="97"/>
      <c r="W169" s="98"/>
    </row>
    <row r="170" spans="1:527" ht="18" customHeight="1" x14ac:dyDescent="0.25">
      <c r="A170" s="126" t="str">
        <f>Config!$B$16</f>
        <v>HOSP</v>
      </c>
      <c r="B170" s="127">
        <f>METAS!$AR$99</f>
        <v>0</v>
      </c>
      <c r="C170" s="127">
        <f>ROUNDUP((B170/12)*Config!$C$6,0)</f>
        <v>0</v>
      </c>
      <c r="D170" s="127">
        <f>ACUMULADO!$AT$12</f>
        <v>0</v>
      </c>
      <c r="E170" s="128">
        <f>E169</f>
        <v>41.666666666666671</v>
      </c>
      <c r="F170" s="128"/>
      <c r="G170" s="129">
        <f t="shared" si="48"/>
        <v>0</v>
      </c>
      <c r="H170" s="130">
        <f t="shared" si="49"/>
        <v>0</v>
      </c>
      <c r="I170" s="130" t="str">
        <f t="shared" si="50"/>
        <v/>
      </c>
      <c r="J170" s="131" t="str">
        <f t="shared" si="51"/>
        <v/>
      </c>
      <c r="T170" s="18"/>
      <c r="V170" s="97"/>
      <c r="W170" s="98"/>
    </row>
    <row r="171" spans="1:527" ht="18" customHeight="1" x14ac:dyDescent="0.25">
      <c r="A171" s="132" t="str">
        <f>Config!$B$17</f>
        <v>LLUI</v>
      </c>
      <c r="B171" s="127">
        <f>METAS!$AS$99</f>
        <v>1010</v>
      </c>
      <c r="C171" s="99">
        <f>ROUNDUP((B171/12)*Config!$C$6,0)</f>
        <v>421</v>
      </c>
      <c r="D171" s="127">
        <f>ACUMULADO!$AU$12</f>
        <v>341</v>
      </c>
      <c r="E171" s="128">
        <f t="shared" ref="E171:E178" si="52">E170</f>
        <v>41.666666666666671</v>
      </c>
      <c r="F171" s="138"/>
      <c r="G171" s="133">
        <f t="shared" si="48"/>
        <v>33.76</v>
      </c>
      <c r="H171" s="134">
        <f t="shared" si="49"/>
        <v>33.76</v>
      </c>
      <c r="I171" s="134" t="str">
        <f t="shared" si="50"/>
        <v/>
      </c>
      <c r="J171" s="135" t="str">
        <f t="shared" si="51"/>
        <v/>
      </c>
      <c r="T171" s="18"/>
      <c r="V171" s="97"/>
      <c r="W171" s="98"/>
    </row>
    <row r="172" spans="1:527" ht="18" customHeight="1" x14ac:dyDescent="0.25">
      <c r="A172" s="132" t="str">
        <f>Config!$B$18</f>
        <v>JERI</v>
      </c>
      <c r="B172" s="127">
        <f>METAS!$AT$99</f>
        <v>97</v>
      </c>
      <c r="C172" s="99">
        <f>ROUNDUP((B172/12)*Config!$C$6,0)</f>
        <v>41</v>
      </c>
      <c r="D172" s="127">
        <f>ACUMULADO!$AV$12</f>
        <v>25</v>
      </c>
      <c r="E172" s="128">
        <f t="shared" si="52"/>
        <v>41.666666666666671</v>
      </c>
      <c r="F172" s="138"/>
      <c r="G172" s="133">
        <f t="shared" si="48"/>
        <v>25.77</v>
      </c>
      <c r="H172" s="134">
        <f t="shared" si="49"/>
        <v>25.77</v>
      </c>
      <c r="I172" s="134" t="str">
        <f t="shared" si="50"/>
        <v/>
      </c>
      <c r="J172" s="135" t="str">
        <f t="shared" si="51"/>
        <v/>
      </c>
      <c r="T172" s="18"/>
      <c r="V172" s="105"/>
      <c r="W172" s="98"/>
    </row>
    <row r="173" spans="1:527" ht="18" customHeight="1" x14ac:dyDescent="0.25">
      <c r="A173" s="132" t="str">
        <f>Config!$B$19</f>
        <v>YANT</v>
      </c>
      <c r="B173" s="127">
        <f>METAS!$AU$99</f>
        <v>181</v>
      </c>
      <c r="C173" s="99">
        <f>ROUNDUP((B173/12)*Config!$C$6,0)</f>
        <v>76</v>
      </c>
      <c r="D173" s="127">
        <f>ACUMULADO!$AW$12</f>
        <v>60</v>
      </c>
      <c r="E173" s="128">
        <f t="shared" si="52"/>
        <v>41.666666666666671</v>
      </c>
      <c r="F173" s="138"/>
      <c r="G173" s="133">
        <f t="shared" si="48"/>
        <v>33.15</v>
      </c>
      <c r="H173" s="134">
        <f t="shared" si="49"/>
        <v>33.15</v>
      </c>
      <c r="I173" s="134" t="str">
        <f t="shared" si="50"/>
        <v/>
      </c>
      <c r="J173" s="135" t="str">
        <f t="shared" si="51"/>
        <v/>
      </c>
      <c r="T173" s="18"/>
      <c r="V173" s="105"/>
      <c r="W173" s="98"/>
    </row>
    <row r="174" spans="1:527" ht="18" customHeight="1" x14ac:dyDescent="0.25">
      <c r="A174" s="132" t="str">
        <f>Config!$B$20</f>
        <v>SORI</v>
      </c>
      <c r="B174" s="127">
        <f>METAS!$AV$99</f>
        <v>483</v>
      </c>
      <c r="C174" s="99">
        <f>ROUNDUP((B174/12)*Config!$C$6,0)</f>
        <v>202</v>
      </c>
      <c r="D174" s="127">
        <f>ACUMULADO!$AX$12</f>
        <v>164</v>
      </c>
      <c r="E174" s="128">
        <f t="shared" si="52"/>
        <v>41.666666666666671</v>
      </c>
      <c r="F174" s="138"/>
      <c r="G174" s="133">
        <f t="shared" si="48"/>
        <v>33.950000000000003</v>
      </c>
      <c r="H174" s="134">
        <f t="shared" si="49"/>
        <v>33.950000000000003</v>
      </c>
      <c r="I174" s="134" t="str">
        <f t="shared" si="50"/>
        <v/>
      </c>
      <c r="J174" s="135" t="str">
        <f t="shared" si="51"/>
        <v/>
      </c>
      <c r="T174" s="18"/>
      <c r="V174" s="105"/>
      <c r="W174" s="98"/>
    </row>
    <row r="175" spans="1:527" ht="18" customHeight="1" x14ac:dyDescent="0.25">
      <c r="A175" s="132" t="str">
        <f>Config!$B$21</f>
        <v>JEPE</v>
      </c>
      <c r="B175" s="127">
        <f>METAS!$AW$99</f>
        <v>187</v>
      </c>
      <c r="C175" s="99">
        <f>ROUNDUP((B175/12)*Config!$C$6,0)</f>
        <v>78</v>
      </c>
      <c r="D175" s="127">
        <f>ACUMULADO!$AY$12</f>
        <v>77</v>
      </c>
      <c r="E175" s="128">
        <f t="shared" si="52"/>
        <v>41.666666666666671</v>
      </c>
      <c r="F175" s="138"/>
      <c r="G175" s="133">
        <f>IFERROR(ROUND(D175*100/B175,2),0)</f>
        <v>41.18</v>
      </c>
      <c r="H175" s="134" t="str">
        <f t="shared" si="49"/>
        <v/>
      </c>
      <c r="I175" s="134">
        <f t="shared" si="50"/>
        <v>41.18</v>
      </c>
      <c r="J175" s="135" t="str">
        <f t="shared" si="51"/>
        <v/>
      </c>
      <c r="T175" s="18"/>
      <c r="V175" s="105"/>
      <c r="W175" s="98"/>
    </row>
    <row r="176" spans="1:527" ht="18" customHeight="1" x14ac:dyDescent="0.25">
      <c r="A176" s="132" t="str">
        <f>Config!$B$22</f>
        <v>ROQU</v>
      </c>
      <c r="B176" s="127">
        <f>METAS!$AX$99</f>
        <v>167</v>
      </c>
      <c r="C176" s="99">
        <f>ROUNDUP((B176/12)*Config!$C$6,0)</f>
        <v>70</v>
      </c>
      <c r="D176" s="127">
        <f>ACUMULADO!$AZ$12</f>
        <v>38</v>
      </c>
      <c r="E176" s="128">
        <f t="shared" si="52"/>
        <v>41.666666666666671</v>
      </c>
      <c r="F176" s="138"/>
      <c r="G176" s="133">
        <f>IFERROR(ROUND(D176*100/B176,2),0)</f>
        <v>22.75</v>
      </c>
      <c r="H176" s="134">
        <f t="shared" si="49"/>
        <v>22.75</v>
      </c>
      <c r="I176" s="134" t="str">
        <f t="shared" si="50"/>
        <v/>
      </c>
      <c r="J176" s="135" t="str">
        <f t="shared" si="51"/>
        <v/>
      </c>
      <c r="T176" s="18"/>
      <c r="V176" s="105"/>
      <c r="W176" s="98"/>
    </row>
    <row r="177" spans="1:527" ht="18" customHeight="1" x14ac:dyDescent="0.25">
      <c r="A177" s="132" t="str">
        <f>Config!$B$23</f>
        <v>CALZ</v>
      </c>
      <c r="B177" s="127">
        <f>METAS!$AY$99</f>
        <v>151</v>
      </c>
      <c r="C177" s="99">
        <f>ROUNDUP((B177/12)*Config!$C$6,0)</f>
        <v>63</v>
      </c>
      <c r="D177" s="127">
        <f>ACUMULADO!$BA$12</f>
        <v>42</v>
      </c>
      <c r="E177" s="128">
        <f t="shared" si="52"/>
        <v>41.666666666666671</v>
      </c>
      <c r="F177" s="138"/>
      <c r="G177" s="133">
        <f t="shared" ref="G177:G178" si="53">IFERROR(ROUND(D177*100/B177,2),0)</f>
        <v>27.81</v>
      </c>
      <c r="H177" s="134">
        <f t="shared" si="49"/>
        <v>27.81</v>
      </c>
      <c r="I177" s="134" t="str">
        <f t="shared" si="50"/>
        <v/>
      </c>
      <c r="J177" s="135" t="str">
        <f t="shared" si="51"/>
        <v/>
      </c>
      <c r="T177" s="18"/>
      <c r="W177" s="98"/>
    </row>
    <row r="178" spans="1:527" ht="18" customHeight="1" x14ac:dyDescent="0.25">
      <c r="A178" s="132" t="str">
        <f>Config!$B$24</f>
        <v>PUEB</v>
      </c>
      <c r="B178" s="127">
        <f>METAS!$AZ$99</f>
        <v>160</v>
      </c>
      <c r="C178" s="99">
        <f>ROUNDUP((B178/12)*Config!$C$6,0)</f>
        <v>67</v>
      </c>
      <c r="D178" s="127">
        <f>ACUMULADO!$BB$12</f>
        <v>31</v>
      </c>
      <c r="E178" s="128">
        <f t="shared" si="52"/>
        <v>41.666666666666671</v>
      </c>
      <c r="F178" s="138"/>
      <c r="G178" s="133">
        <f t="shared" si="53"/>
        <v>19.38</v>
      </c>
      <c r="H178" s="134">
        <f t="shared" si="49"/>
        <v>19.38</v>
      </c>
      <c r="I178" s="134" t="str">
        <f t="shared" si="50"/>
        <v/>
      </c>
      <c r="J178" s="135" t="str">
        <f t="shared" si="51"/>
        <v/>
      </c>
      <c r="T178" s="18"/>
      <c r="W178" s="98"/>
    </row>
    <row r="179" spans="1:527" ht="18" customHeight="1" x14ac:dyDescent="0.25">
      <c r="A179" s="139"/>
      <c r="B179" s="103"/>
      <c r="D179" s="101"/>
      <c r="E179" s="103"/>
      <c r="I179" s="103"/>
      <c r="J179" s="103"/>
      <c r="T179" s="18"/>
      <c r="W179" s="98"/>
    </row>
    <row r="180" spans="1:527" ht="18" customHeight="1" x14ac:dyDescent="0.25">
      <c r="A180" s="139"/>
      <c r="B180" s="103"/>
      <c r="D180" s="103"/>
      <c r="E180" s="103"/>
      <c r="I180" s="103"/>
      <c r="J180" s="103"/>
      <c r="T180" s="18"/>
      <c r="W180" s="98"/>
    </row>
    <row r="181" spans="1:527" ht="18" customHeight="1" x14ac:dyDescent="0.25">
      <c r="A181" s="139"/>
      <c r="B181" s="103"/>
      <c r="D181" s="103"/>
      <c r="E181" s="103"/>
      <c r="I181" s="103"/>
      <c r="J181" s="103"/>
      <c r="T181" s="18"/>
      <c r="W181" s="98"/>
    </row>
    <row r="182" spans="1:527" ht="18" customHeight="1" x14ac:dyDescent="0.25">
      <c r="A182" s="139"/>
      <c r="B182" s="103"/>
      <c r="D182" s="103"/>
      <c r="E182" s="103"/>
      <c r="I182" s="103"/>
      <c r="J182" s="103"/>
      <c r="T182" s="18"/>
      <c r="W182" s="98"/>
    </row>
    <row r="183" spans="1:527" ht="18" customHeight="1" x14ac:dyDescent="0.25">
      <c r="A183" s="139"/>
      <c r="B183" s="103"/>
      <c r="D183" s="103"/>
      <c r="E183" s="103"/>
      <c r="I183" s="103"/>
      <c r="J183" s="103"/>
      <c r="T183" s="18"/>
      <c r="W183" s="98"/>
    </row>
    <row r="184" spans="1:527" ht="18" customHeight="1" x14ac:dyDescent="0.25">
      <c r="A184" s="142"/>
      <c r="B184" s="103"/>
      <c r="D184" s="103"/>
      <c r="E184" s="103"/>
      <c r="I184" s="103"/>
      <c r="J184" s="103"/>
      <c r="T184" s="18"/>
      <c r="W184" s="98"/>
      <c r="PN184" s="48">
        <v>0</v>
      </c>
      <c r="PO184" s="48">
        <v>0</v>
      </c>
      <c r="PP184" s="48">
        <v>0</v>
      </c>
      <c r="PQ184" s="48">
        <v>0</v>
      </c>
      <c r="PR184" s="48">
        <v>0</v>
      </c>
      <c r="PS184" s="48">
        <v>0</v>
      </c>
      <c r="PT184" s="48">
        <v>0</v>
      </c>
      <c r="PU184" s="48">
        <v>0</v>
      </c>
      <c r="PV184" s="48">
        <v>0</v>
      </c>
      <c r="PW184" s="48">
        <v>0</v>
      </c>
      <c r="PX184" s="48">
        <v>0</v>
      </c>
      <c r="PY184" s="48">
        <v>0</v>
      </c>
      <c r="PZ184" s="48">
        <v>0</v>
      </c>
      <c r="QA184" s="48">
        <v>0</v>
      </c>
      <c r="QB184" s="48">
        <v>0</v>
      </c>
      <c r="QC184" s="48">
        <v>0</v>
      </c>
      <c r="QD184" s="48">
        <v>0</v>
      </c>
      <c r="QE184" s="48">
        <v>0</v>
      </c>
      <c r="QF184" s="48">
        <v>0</v>
      </c>
      <c r="QG184" s="48">
        <v>0</v>
      </c>
      <c r="QH184" s="48">
        <v>0</v>
      </c>
      <c r="QI184" s="48">
        <v>0</v>
      </c>
      <c r="QJ184" s="48">
        <v>0</v>
      </c>
      <c r="QK184" s="48">
        <v>0</v>
      </c>
      <c r="QL184" s="48">
        <v>0</v>
      </c>
      <c r="QM184" s="48">
        <v>0</v>
      </c>
      <c r="QN184" s="48">
        <v>0</v>
      </c>
      <c r="QO184" s="48">
        <v>0</v>
      </c>
      <c r="QP184" s="48">
        <v>0</v>
      </c>
      <c r="QQ184" s="48">
        <v>0</v>
      </c>
      <c r="QR184" s="48">
        <v>0</v>
      </c>
      <c r="QS184" s="48">
        <v>0</v>
      </c>
      <c r="QT184" s="48">
        <v>0</v>
      </c>
      <c r="QU184" s="48">
        <v>0</v>
      </c>
      <c r="QV184" s="48">
        <v>0</v>
      </c>
      <c r="QW184" s="48">
        <v>0</v>
      </c>
      <c r="QX184" s="48">
        <v>0</v>
      </c>
      <c r="QY184" s="48">
        <v>0</v>
      </c>
      <c r="QZ184" s="48">
        <v>0</v>
      </c>
      <c r="RA184" s="48">
        <v>0</v>
      </c>
      <c r="RB184" s="48">
        <v>0</v>
      </c>
      <c r="RC184" s="48">
        <v>0</v>
      </c>
      <c r="RD184" s="48">
        <v>0</v>
      </c>
      <c r="RE184" s="48">
        <v>0</v>
      </c>
      <c r="RF184" s="48">
        <v>0</v>
      </c>
      <c r="RG184" s="48">
        <v>0</v>
      </c>
      <c r="RH184" s="48">
        <v>0</v>
      </c>
      <c r="RI184" s="48">
        <v>0</v>
      </c>
      <c r="RJ184" s="48">
        <v>0</v>
      </c>
      <c r="RK184" s="48">
        <v>0</v>
      </c>
      <c r="RL184" s="48">
        <v>0</v>
      </c>
      <c r="RM184" s="48">
        <v>0</v>
      </c>
      <c r="RN184" s="48">
        <v>0</v>
      </c>
      <c r="RO184" s="48">
        <v>0</v>
      </c>
      <c r="RP184" s="48">
        <v>0</v>
      </c>
      <c r="RQ184" s="48">
        <v>0</v>
      </c>
      <c r="RR184" s="48">
        <v>0</v>
      </c>
      <c r="RS184" s="48">
        <v>0</v>
      </c>
      <c r="RT184" s="48">
        <v>0</v>
      </c>
      <c r="RU184" s="48">
        <v>0</v>
      </c>
      <c r="RV184" s="48">
        <v>0</v>
      </c>
      <c r="RW184" s="48">
        <v>0</v>
      </c>
      <c r="RX184" s="48">
        <v>0</v>
      </c>
      <c r="RY184" s="48">
        <v>0</v>
      </c>
      <c r="RZ184" s="48">
        <v>0</v>
      </c>
      <c r="SA184" s="48">
        <v>0</v>
      </c>
      <c r="SB184" s="48">
        <v>0</v>
      </c>
      <c r="SC184" s="48">
        <v>0</v>
      </c>
      <c r="SD184" s="48">
        <v>0</v>
      </c>
      <c r="SE184" s="48">
        <v>0</v>
      </c>
      <c r="SF184" s="48">
        <v>0</v>
      </c>
      <c r="SG184" s="48">
        <v>0</v>
      </c>
      <c r="SH184" s="48">
        <v>0</v>
      </c>
      <c r="SI184" s="48">
        <v>0</v>
      </c>
      <c r="SJ184" s="48">
        <v>0</v>
      </c>
      <c r="SK184" s="48">
        <v>0</v>
      </c>
      <c r="SL184" s="48">
        <v>0</v>
      </c>
      <c r="SM184" s="48">
        <v>0</v>
      </c>
      <c r="SN184" s="48">
        <v>0</v>
      </c>
      <c r="SO184" s="48">
        <v>0</v>
      </c>
      <c r="SP184" s="48">
        <v>0</v>
      </c>
      <c r="SQ184" s="48">
        <v>0</v>
      </c>
      <c r="SR184" s="48">
        <v>0</v>
      </c>
      <c r="SS184" s="48">
        <v>0</v>
      </c>
      <c r="ST184" s="48">
        <v>0</v>
      </c>
      <c r="SU184" s="48">
        <v>0</v>
      </c>
      <c r="SV184" s="48">
        <v>0</v>
      </c>
      <c r="SW184" s="48">
        <v>0</v>
      </c>
      <c r="SX184" s="48">
        <v>0</v>
      </c>
      <c r="SY184" s="48">
        <v>0</v>
      </c>
      <c r="SZ184" s="48">
        <v>0</v>
      </c>
      <c r="TA184" s="48">
        <v>0</v>
      </c>
      <c r="TB184" s="48">
        <v>0</v>
      </c>
      <c r="TC184" s="48">
        <v>0</v>
      </c>
      <c r="TD184" s="48">
        <v>0</v>
      </c>
      <c r="TE184" s="48">
        <v>0</v>
      </c>
      <c r="TF184" s="48">
        <v>0</v>
      </c>
      <c r="TG184" s="48">
        <v>0</v>
      </c>
    </row>
    <row r="185" spans="1:527" ht="18" customHeight="1" x14ac:dyDescent="0.25">
      <c r="A185" s="142"/>
      <c r="B185" s="103"/>
      <c r="D185" s="103"/>
      <c r="E185" s="103"/>
      <c r="I185" s="103"/>
      <c r="J185" s="103"/>
      <c r="T185" s="18"/>
      <c r="W185" s="98"/>
    </row>
    <row r="186" spans="1:527" ht="18" customHeight="1" x14ac:dyDescent="0.25">
      <c r="A186" s="142"/>
      <c r="B186" s="103"/>
      <c r="D186" s="103"/>
      <c r="E186" s="103"/>
      <c r="I186" s="103"/>
      <c r="J186" s="103"/>
      <c r="T186" s="18"/>
      <c r="W186" s="98"/>
    </row>
    <row r="187" spans="1:527" ht="18" customHeight="1" x14ac:dyDescent="0.25">
      <c r="A187" s="104" t="str">
        <f>METAS!B100</f>
        <v>NIÑO &gt; 1 AÑO CON 2°SPR,1°REF DPT Y 1°REF APO</v>
      </c>
      <c r="I187" s="103"/>
      <c r="J187" s="103"/>
      <c r="T187" s="18"/>
      <c r="V187" s="97" t="str">
        <f>A187</f>
        <v>NIÑO &gt; 1 AÑO CON 2°SPR,1°REF DPT Y 1°REF APO</v>
      </c>
      <c r="W187" s="98"/>
    </row>
    <row r="188" spans="1:527" ht="48" customHeight="1" x14ac:dyDescent="0.25">
      <c r="A188" s="107" t="s">
        <v>2</v>
      </c>
      <c r="B188" s="108" t="s">
        <v>164</v>
      </c>
      <c r="C188" s="109" t="s">
        <v>71</v>
      </c>
      <c r="D188" s="108" t="s">
        <v>268</v>
      </c>
      <c r="E188" s="108" t="s">
        <v>1</v>
      </c>
      <c r="F188" s="110"/>
      <c r="G188" s="111" t="s">
        <v>10</v>
      </c>
      <c r="H188" s="112" t="str">
        <f>"DEFICIENTE &lt;= "&amp;$E$3</f>
        <v>DEFICIENTE &lt;= 37,5</v>
      </c>
      <c r="I188" s="112" t="str">
        <f>"PROCESO &gt; "&amp;$E$3&amp;"  -  &lt; "&amp;$F$3</f>
        <v>PROCESO &gt; 37,5  -  &lt; 41,7</v>
      </c>
      <c r="J188" s="112" t="str">
        <f>"OPTIMO &gt;= "&amp;$F$3</f>
        <v>OPTIMO &gt;= 41,7</v>
      </c>
      <c r="T188" s="18"/>
      <c r="V188" s="137" t="str">
        <f>$V$1&amp;"  "&amp;V187&amp;"  "&amp;$V$3&amp;"  "&amp;$V$2</f>
        <v>RED. MOYOBAMBA:  NIÑO &gt; 1 AÑO CON 2°SPR,1°REF DPT Y 1°REF APO  - POR MICROREDES :   ENERO - MAYO 2022</v>
      </c>
      <c r="W188" s="98"/>
    </row>
    <row r="189" spans="1:527" ht="18" customHeight="1" thickBot="1" x14ac:dyDescent="0.3">
      <c r="A189" s="118" t="str">
        <f>Config!$B$15</f>
        <v>RED</v>
      </c>
      <c r="B189" s="119">
        <f>SUM(B190:B198)</f>
        <v>2436</v>
      </c>
      <c r="C189" s="119">
        <f>SUM(C190:C198)</f>
        <v>1018</v>
      </c>
      <c r="D189" s="119">
        <f>SUM(D190:D198)</f>
        <v>270</v>
      </c>
      <c r="E189" s="119">
        <f>Config!$C$9</f>
        <v>41.666666666666671</v>
      </c>
      <c r="F189" s="120"/>
      <c r="G189" s="119">
        <f t="shared" ref="G189:G197" si="54">IFERROR(ROUND(D189*100/B189,2),0)</f>
        <v>11.08</v>
      </c>
      <c r="H189" s="121">
        <f t="shared" ref="H189:H198" si="55">IF(G189&lt;=$E$3,G189,"")</f>
        <v>11.08</v>
      </c>
      <c r="I189" s="121" t="str">
        <f t="shared" ref="I189:I198" si="56">IF(G189&gt;$E$3,IF(G189&lt;$F$3,G189,""),"")</f>
        <v/>
      </c>
      <c r="J189" s="119" t="str">
        <f t="shared" ref="J189:J198" si="57">IF(G189&gt;=$F$3,G189,"")</f>
        <v/>
      </c>
      <c r="T189" s="18"/>
      <c r="V189" s="97"/>
      <c r="W189" s="98"/>
    </row>
    <row r="190" spans="1:527" ht="18" customHeight="1" x14ac:dyDescent="0.25">
      <c r="A190" s="126" t="str">
        <f>Config!$B$16</f>
        <v>HOSP</v>
      </c>
      <c r="B190" s="127">
        <f>METAS!$AR$100</f>
        <v>0</v>
      </c>
      <c r="C190" s="127">
        <f>ROUNDUP((B190/12)*Config!$C$6,0)</f>
        <v>0</v>
      </c>
      <c r="D190" s="127">
        <f>ACUMULADO!$AT$13</f>
        <v>0</v>
      </c>
      <c r="E190" s="128">
        <f>E189</f>
        <v>41.666666666666671</v>
      </c>
      <c r="F190" s="128"/>
      <c r="G190" s="129">
        <f t="shared" si="54"/>
        <v>0</v>
      </c>
      <c r="H190" s="130">
        <f t="shared" si="55"/>
        <v>0</v>
      </c>
      <c r="I190" s="130" t="str">
        <f t="shared" si="56"/>
        <v/>
      </c>
      <c r="J190" s="131" t="str">
        <f t="shared" si="57"/>
        <v/>
      </c>
      <c r="T190" s="18"/>
      <c r="V190" s="97"/>
      <c r="W190" s="98"/>
    </row>
    <row r="191" spans="1:527" ht="18" customHeight="1" x14ac:dyDescent="0.25">
      <c r="A191" s="132" t="str">
        <f>Config!$B$17</f>
        <v>LLUI</v>
      </c>
      <c r="B191" s="127">
        <f>METAS!$AS$100</f>
        <v>1010</v>
      </c>
      <c r="C191" s="99">
        <f>ROUNDUP((B191/12)*Config!$C$6,0)</f>
        <v>421</v>
      </c>
      <c r="D191" s="127">
        <f>ACUMULADO!$AU$13</f>
        <v>126</v>
      </c>
      <c r="E191" s="128">
        <f t="shared" ref="E191:E198" si="58">E190</f>
        <v>41.666666666666671</v>
      </c>
      <c r="F191" s="138"/>
      <c r="G191" s="133">
        <f t="shared" si="54"/>
        <v>12.48</v>
      </c>
      <c r="H191" s="134">
        <f t="shared" si="55"/>
        <v>12.48</v>
      </c>
      <c r="I191" s="134" t="str">
        <f t="shared" si="56"/>
        <v/>
      </c>
      <c r="J191" s="135" t="str">
        <f t="shared" si="57"/>
        <v/>
      </c>
      <c r="T191" s="18"/>
      <c r="V191" s="97"/>
      <c r="W191" s="98"/>
    </row>
    <row r="192" spans="1:527" ht="18" customHeight="1" x14ac:dyDescent="0.25">
      <c r="A192" s="132" t="str">
        <f>Config!$B$18</f>
        <v>JERI</v>
      </c>
      <c r="B192" s="127">
        <f>METAS!$AT$100</f>
        <v>97</v>
      </c>
      <c r="C192" s="99">
        <f>ROUNDUP((B192/12)*Config!$C$6,0)</f>
        <v>41</v>
      </c>
      <c r="D192" s="127">
        <f>ACUMULADO!$AV$13</f>
        <v>13</v>
      </c>
      <c r="E192" s="128">
        <f t="shared" si="58"/>
        <v>41.666666666666671</v>
      </c>
      <c r="F192" s="138"/>
      <c r="G192" s="133">
        <f t="shared" si="54"/>
        <v>13.4</v>
      </c>
      <c r="H192" s="134">
        <f t="shared" si="55"/>
        <v>13.4</v>
      </c>
      <c r="I192" s="134" t="str">
        <f t="shared" si="56"/>
        <v/>
      </c>
      <c r="J192" s="135" t="str">
        <f t="shared" si="57"/>
        <v/>
      </c>
      <c r="T192" s="18"/>
      <c r="U192" s="18"/>
      <c r="V192" s="97"/>
    </row>
    <row r="193" spans="1:23" ht="18" customHeight="1" x14ac:dyDescent="0.25">
      <c r="A193" s="132" t="str">
        <f>Config!$B$19</f>
        <v>YANT</v>
      </c>
      <c r="B193" s="127">
        <f>METAS!$AU$100</f>
        <v>181</v>
      </c>
      <c r="C193" s="99">
        <f>ROUNDUP((B193/12)*Config!$C$6,0)</f>
        <v>76</v>
      </c>
      <c r="D193" s="127">
        <f>ACUMULADO!$AW$13</f>
        <v>10</v>
      </c>
      <c r="E193" s="128">
        <f t="shared" si="58"/>
        <v>41.666666666666671</v>
      </c>
      <c r="F193" s="138"/>
      <c r="G193" s="133">
        <f t="shared" si="54"/>
        <v>5.52</v>
      </c>
      <c r="H193" s="134">
        <f t="shared" si="55"/>
        <v>5.52</v>
      </c>
      <c r="I193" s="134" t="str">
        <f t="shared" si="56"/>
        <v/>
      </c>
      <c r="J193" s="135" t="str">
        <f t="shared" si="57"/>
        <v/>
      </c>
      <c r="T193" s="18"/>
      <c r="U193" s="18"/>
      <c r="V193" s="97"/>
    </row>
    <row r="194" spans="1:23" ht="18" customHeight="1" x14ac:dyDescent="0.25">
      <c r="A194" s="132" t="str">
        <f>Config!$B$20</f>
        <v>SORI</v>
      </c>
      <c r="B194" s="127">
        <f>METAS!$AV$100</f>
        <v>483</v>
      </c>
      <c r="C194" s="99">
        <f>ROUNDUP((B194/12)*Config!$C$6,0)</f>
        <v>202</v>
      </c>
      <c r="D194" s="127">
        <f>ACUMULADO!$AX$13</f>
        <v>79</v>
      </c>
      <c r="E194" s="128">
        <f t="shared" si="58"/>
        <v>41.666666666666671</v>
      </c>
      <c r="F194" s="138"/>
      <c r="G194" s="133">
        <f t="shared" si="54"/>
        <v>16.36</v>
      </c>
      <c r="H194" s="134">
        <f t="shared" si="55"/>
        <v>16.36</v>
      </c>
      <c r="I194" s="134" t="str">
        <f t="shared" si="56"/>
        <v/>
      </c>
      <c r="J194" s="135" t="str">
        <f t="shared" si="57"/>
        <v/>
      </c>
      <c r="T194" s="18"/>
      <c r="U194" s="18"/>
      <c r="V194" s="97"/>
    </row>
    <row r="195" spans="1:23" ht="18" customHeight="1" x14ac:dyDescent="0.25">
      <c r="A195" s="132" t="str">
        <f>Config!$B$21</f>
        <v>JEPE</v>
      </c>
      <c r="B195" s="127">
        <f>METAS!$AW$100</f>
        <v>187</v>
      </c>
      <c r="C195" s="99">
        <f>ROUNDUP((B195/12)*Config!$C$6,0)</f>
        <v>78</v>
      </c>
      <c r="D195" s="127">
        <f>ACUMULADO!$AY$13</f>
        <v>21</v>
      </c>
      <c r="E195" s="128">
        <f t="shared" si="58"/>
        <v>41.666666666666671</v>
      </c>
      <c r="F195" s="138"/>
      <c r="G195" s="133">
        <f>IFERROR(ROUND(D195*100/B195,2),0)</f>
        <v>11.23</v>
      </c>
      <c r="H195" s="134">
        <f t="shared" si="55"/>
        <v>11.23</v>
      </c>
      <c r="I195" s="134" t="str">
        <f t="shared" si="56"/>
        <v/>
      </c>
      <c r="J195" s="135" t="str">
        <f t="shared" si="57"/>
        <v/>
      </c>
      <c r="T195" s="18"/>
      <c r="V195" s="97"/>
      <c r="W195" s="98"/>
    </row>
    <row r="196" spans="1:23" ht="18" customHeight="1" x14ac:dyDescent="0.25">
      <c r="A196" s="132" t="str">
        <f>Config!$B$22</f>
        <v>ROQU</v>
      </c>
      <c r="B196" s="127">
        <f>METAS!$AX$100</f>
        <v>167</v>
      </c>
      <c r="C196" s="99">
        <f>ROUNDUP((B196/12)*Config!$C$6,0)</f>
        <v>70</v>
      </c>
      <c r="D196" s="127">
        <f>ACUMULADO!$AZ$13</f>
        <v>4</v>
      </c>
      <c r="E196" s="128">
        <f t="shared" si="58"/>
        <v>41.666666666666671</v>
      </c>
      <c r="F196" s="138"/>
      <c r="G196" s="133">
        <f>IFERROR(ROUND(D196*100/B196,2),0)</f>
        <v>2.4</v>
      </c>
      <c r="H196" s="134">
        <f t="shared" si="55"/>
        <v>2.4</v>
      </c>
      <c r="I196" s="134" t="str">
        <f t="shared" si="56"/>
        <v/>
      </c>
      <c r="J196" s="135" t="str">
        <f t="shared" si="57"/>
        <v/>
      </c>
      <c r="T196" s="18"/>
      <c r="V196" s="105"/>
      <c r="W196" s="98"/>
    </row>
    <row r="197" spans="1:23" ht="18" customHeight="1" x14ac:dyDescent="0.25">
      <c r="A197" s="132" t="str">
        <f>Config!$B$23</f>
        <v>CALZ</v>
      </c>
      <c r="B197" s="127">
        <f>METAS!$AY$100</f>
        <v>151</v>
      </c>
      <c r="C197" s="99">
        <f>ROUNDUP((B197/12)*Config!$C$6,0)</f>
        <v>63</v>
      </c>
      <c r="D197" s="127">
        <f>ACUMULADO!$BA$13</f>
        <v>12</v>
      </c>
      <c r="E197" s="128">
        <f t="shared" si="58"/>
        <v>41.666666666666671</v>
      </c>
      <c r="F197" s="138"/>
      <c r="G197" s="133">
        <f t="shared" si="54"/>
        <v>7.95</v>
      </c>
      <c r="H197" s="134">
        <f t="shared" si="55"/>
        <v>7.95</v>
      </c>
      <c r="I197" s="134" t="str">
        <f t="shared" si="56"/>
        <v/>
      </c>
      <c r="J197" s="135" t="str">
        <f t="shared" si="57"/>
        <v/>
      </c>
      <c r="T197" s="18"/>
      <c r="U197" s="18"/>
      <c r="V197" s="105"/>
    </row>
    <row r="198" spans="1:23" ht="18" customHeight="1" x14ac:dyDescent="0.25">
      <c r="A198" s="132" t="str">
        <f>Config!$B$24</f>
        <v>PUEB</v>
      </c>
      <c r="B198" s="127">
        <f>METAS!$AZ$100</f>
        <v>160</v>
      </c>
      <c r="C198" s="99">
        <f>ROUNDUP((B198/12)*Config!$C$6,0)</f>
        <v>67</v>
      </c>
      <c r="D198" s="127">
        <f>ACUMULADO!$BB$13</f>
        <v>5</v>
      </c>
      <c r="E198" s="128">
        <f t="shared" si="58"/>
        <v>41.666666666666671</v>
      </c>
      <c r="F198" s="138"/>
      <c r="G198" s="133">
        <f t="shared" ref="G198" si="59">IFERROR(ROUND(D198*100/B198,2),0)</f>
        <v>3.13</v>
      </c>
      <c r="H198" s="134">
        <f t="shared" si="55"/>
        <v>3.13</v>
      </c>
      <c r="I198" s="134" t="str">
        <f t="shared" si="56"/>
        <v/>
      </c>
      <c r="J198" s="135" t="str">
        <f t="shared" si="57"/>
        <v/>
      </c>
      <c r="T198" s="18"/>
      <c r="V198" s="105"/>
      <c r="W198" s="98"/>
    </row>
    <row r="199" spans="1:23" ht="18" customHeight="1" x14ac:dyDescent="0.25">
      <c r="C199" s="48"/>
      <c r="D199" s="101"/>
      <c r="E199" s="48"/>
      <c r="F199" s="48"/>
      <c r="G199" s="48"/>
      <c r="H199" s="48"/>
      <c r="I199" s="48"/>
      <c r="J199" s="48"/>
      <c r="T199" s="18"/>
      <c r="U199" s="18"/>
    </row>
    <row r="200" spans="1:23" ht="18" customHeight="1" x14ac:dyDescent="0.25">
      <c r="C200" s="48"/>
      <c r="D200" s="48"/>
      <c r="E200" s="48"/>
      <c r="F200" s="48"/>
      <c r="G200" s="48"/>
      <c r="H200" s="48"/>
      <c r="I200" s="48"/>
      <c r="J200" s="48"/>
      <c r="T200" s="18"/>
      <c r="U200" s="18"/>
    </row>
    <row r="201" spans="1:23" ht="18" customHeight="1" x14ac:dyDescent="0.25">
      <c r="C201" s="48"/>
      <c r="D201" s="48"/>
      <c r="E201" s="48"/>
      <c r="F201" s="48"/>
      <c r="G201" s="48"/>
      <c r="H201" s="48"/>
      <c r="I201" s="48"/>
      <c r="J201" s="48"/>
      <c r="T201" s="18"/>
      <c r="U201" s="18"/>
    </row>
    <row r="202" spans="1:23" ht="18" customHeight="1" x14ac:dyDescent="0.25">
      <c r="C202" s="48"/>
      <c r="D202" s="48"/>
      <c r="E202" s="48"/>
      <c r="F202" s="48"/>
      <c r="G202" s="48"/>
      <c r="H202" s="48"/>
      <c r="I202" s="48"/>
      <c r="J202" s="48"/>
      <c r="T202" s="18"/>
      <c r="U202" s="18"/>
    </row>
    <row r="203" spans="1:23" ht="18" customHeight="1" x14ac:dyDescent="0.25">
      <c r="A203" s="139"/>
      <c r="B203" s="103"/>
      <c r="D203" s="103"/>
      <c r="E203" s="103"/>
      <c r="I203" s="103"/>
      <c r="J203" s="103"/>
      <c r="T203" s="18"/>
      <c r="W203" s="98"/>
    </row>
    <row r="204" spans="1:23" ht="18" customHeight="1" x14ac:dyDescent="0.25">
      <c r="A204" s="139"/>
      <c r="B204" s="103"/>
      <c r="D204" s="103"/>
      <c r="E204" s="103"/>
      <c r="I204" s="103"/>
      <c r="J204" s="103"/>
      <c r="T204" s="18"/>
      <c r="V204" s="105"/>
      <c r="W204" s="98"/>
    </row>
    <row r="205" spans="1:23" ht="18" customHeight="1" x14ac:dyDescent="0.25">
      <c r="B205" s="103"/>
      <c r="D205" s="103"/>
      <c r="E205" s="103"/>
      <c r="I205" s="103"/>
      <c r="J205" s="103"/>
      <c r="T205" s="18"/>
      <c r="V205" s="105"/>
      <c r="W205" s="98"/>
    </row>
    <row r="206" spans="1:23" ht="18" hidden="1" customHeight="1" x14ac:dyDescent="0.25">
      <c r="B206" s="103"/>
      <c r="D206" s="103"/>
      <c r="E206" s="103"/>
      <c r="I206" s="103"/>
      <c r="J206" s="103"/>
      <c r="T206" s="18"/>
      <c r="V206" s="105"/>
      <c r="W206" s="98"/>
    </row>
    <row r="207" spans="1:23" ht="18" hidden="1" customHeight="1" x14ac:dyDescent="0.25">
      <c r="B207" s="143" t="s">
        <v>165</v>
      </c>
      <c r="C207" s="144"/>
      <c r="D207" s="145"/>
      <c r="E207" s="145"/>
      <c r="F207" s="146"/>
      <c r="I207" s="103"/>
      <c r="J207" s="103"/>
      <c r="T207" s="18"/>
      <c r="U207" s="18"/>
      <c r="V207" s="105"/>
    </row>
    <row r="208" spans="1:23" ht="18" hidden="1" customHeight="1" x14ac:dyDescent="0.25">
      <c r="A208" s="104" t="s">
        <v>166</v>
      </c>
      <c r="B208" s="145"/>
      <c r="C208" s="144"/>
      <c r="D208" s="145"/>
      <c r="E208" s="145"/>
      <c r="F208" s="146"/>
      <c r="I208" s="103"/>
      <c r="J208" s="103"/>
      <c r="T208" s="18"/>
      <c r="U208" s="18"/>
      <c r="V208" s="97" t="s">
        <v>167</v>
      </c>
    </row>
    <row r="209" spans="1:26" ht="48" hidden="1" customHeight="1" thickBot="1" x14ac:dyDescent="0.25">
      <c r="A209" s="107" t="s">
        <v>2</v>
      </c>
      <c r="B209" s="108"/>
      <c r="C209" s="109" t="s">
        <v>168</v>
      </c>
      <c r="D209" s="108" t="s">
        <v>169</v>
      </c>
      <c r="E209" s="108" t="s">
        <v>1</v>
      </c>
      <c r="F209" s="110"/>
      <c r="G209" s="111" t="s">
        <v>10</v>
      </c>
      <c r="H209" s="112" t="s">
        <v>170</v>
      </c>
      <c r="I209" s="112" t="s">
        <v>171</v>
      </c>
      <c r="J209" s="112" t="s">
        <v>172</v>
      </c>
      <c r="T209" s="18"/>
      <c r="U209" s="18"/>
      <c r="V209" s="137" t="str">
        <f>$V$1&amp;"  "&amp;V208&amp;"  "&amp;$V$3&amp;"  "&amp;$V$2</f>
        <v>RED. MOYOBAMBA:  PORCENTAJE DE DESERCION VACUNA PENTAVALENTE EN MENORES DE 1 AÑO  - POR MICROREDES :   ENERO - MAYO 2022</v>
      </c>
    </row>
    <row r="210" spans="1:26" ht="18" hidden="1" customHeight="1" thickBot="1" x14ac:dyDescent="0.3">
      <c r="A210" s="118" t="str">
        <f>Config!$B$15</f>
        <v>RED</v>
      </c>
      <c r="B210" s="119">
        <f>SUM(B211:B219)</f>
        <v>0</v>
      </c>
      <c r="C210" s="119">
        <f>SUM(C211:C219)</f>
        <v>0</v>
      </c>
      <c r="D210" s="119" t="e">
        <f>SUM(D211:D219)</f>
        <v>#REF!</v>
      </c>
      <c r="E210" s="119">
        <f>Config!$D$9</f>
        <v>100</v>
      </c>
      <c r="F210" s="120"/>
      <c r="G210" s="119" t="e">
        <f t="shared" ref="G210:G218" si="60">(C210-D210)*100/C210</f>
        <v>#REF!</v>
      </c>
      <c r="H210" s="121" t="e">
        <f t="shared" ref="H210:H218" si="61">IF(G210&lt;=$Y$216,G210,IF(G210&gt;$X$216,G210,""))</f>
        <v>#REF!</v>
      </c>
      <c r="I210" s="121" t="e">
        <f t="shared" ref="I210:I218" si="62">IF(AND(G210&gt;$Y$216,G210&lt;$X$214),G210,IF(AND(G210&gt;$X$214,G210&lt;$X$216),G210,""))</f>
        <v>#REF!</v>
      </c>
      <c r="J210" s="119" t="e">
        <f t="shared" ref="J210:J218" si="63">IF(G210=$X$214,G210,"")</f>
        <v>#REF!</v>
      </c>
      <c r="T210" s="18"/>
      <c r="U210" s="18"/>
      <c r="V210" s="97"/>
    </row>
    <row r="211" spans="1:26" ht="18" hidden="1" customHeight="1" x14ac:dyDescent="0.25">
      <c r="A211" s="126" t="str">
        <f>Config!$B$16</f>
        <v>HOSP</v>
      </c>
      <c r="B211" s="127"/>
      <c r="C211" s="127">
        <f>ACUMULADO!$AT$120</f>
        <v>0</v>
      </c>
      <c r="D211" s="127" t="e">
        <f>ACUMULADO!#REF!</f>
        <v>#REF!</v>
      </c>
      <c r="E211" s="127">
        <f>E210</f>
        <v>100</v>
      </c>
      <c r="F211" s="128"/>
      <c r="G211" s="129" t="e">
        <f t="shared" si="60"/>
        <v>#REF!</v>
      </c>
      <c r="H211" s="130" t="e">
        <f t="shared" si="61"/>
        <v>#REF!</v>
      </c>
      <c r="I211" s="130" t="e">
        <f t="shared" si="62"/>
        <v>#REF!</v>
      </c>
      <c r="J211" s="131" t="e">
        <f t="shared" si="63"/>
        <v>#REF!</v>
      </c>
      <c r="T211" s="18"/>
      <c r="U211" s="18"/>
      <c r="V211" s="97" t="str">
        <f>"El gráfico muestra el avance en % donde se  observa deserción positiva y negativa : un nivel optimo es cuando hay 0 desercion, en proceso de -5 hasta +5 pasado esos parametos se considera un nivel feficiente"</f>
        <v>El gráfico muestra el avance en % donde se  observa deserción positiva y negativa : un nivel optimo es cuando hay 0 desercion, en proceso de -5 hasta +5 pasado esos parametos se considera un nivel feficiente</v>
      </c>
    </row>
    <row r="212" spans="1:26" ht="18" hidden="1" customHeight="1" x14ac:dyDescent="0.25">
      <c r="A212" s="132" t="str">
        <f>Config!$B$17</f>
        <v>LLUI</v>
      </c>
      <c r="B212" s="99"/>
      <c r="C212" s="99">
        <f>ACUMULADO!$AU$120</f>
        <v>0</v>
      </c>
      <c r="D212" s="99" t="e">
        <f>ACUMULADO!#REF!</f>
        <v>#REF!</v>
      </c>
      <c r="E212" s="99">
        <f>E217</f>
        <v>100</v>
      </c>
      <c r="F212" s="138"/>
      <c r="G212" s="133" t="e">
        <f t="shared" si="60"/>
        <v>#REF!</v>
      </c>
      <c r="H212" s="134" t="e">
        <f>IF(G212&lt;=$Y$216,G212,IF(G212&gt;$X$216,G212,""))</f>
        <v>#REF!</v>
      </c>
      <c r="I212" s="134" t="e">
        <f t="shared" si="62"/>
        <v>#REF!</v>
      </c>
      <c r="J212" s="135" t="e">
        <f t="shared" si="63"/>
        <v>#REF!</v>
      </c>
      <c r="T212" s="18"/>
      <c r="U212" s="18"/>
      <c r="V212" s="97"/>
    </row>
    <row r="213" spans="1:26" ht="18" hidden="1" customHeight="1" x14ac:dyDescent="0.25">
      <c r="A213" s="132" t="str">
        <f>Config!$B$18</f>
        <v>JERI</v>
      </c>
      <c r="B213" s="99"/>
      <c r="C213" s="99">
        <f>ACUMULADO!$AV$120</f>
        <v>0</v>
      </c>
      <c r="D213" s="99" t="e">
        <f>ACUMULADO!#REF!</f>
        <v>#REF!</v>
      </c>
      <c r="E213" s="99">
        <f>E216</f>
        <v>100</v>
      </c>
      <c r="F213" s="138"/>
      <c r="G213" s="133" t="e">
        <f t="shared" si="60"/>
        <v>#REF!</v>
      </c>
      <c r="H213" s="134" t="e">
        <f t="shared" si="61"/>
        <v>#REF!</v>
      </c>
      <c r="I213" s="134" t="e">
        <f t="shared" si="62"/>
        <v>#REF!</v>
      </c>
      <c r="J213" s="135" t="e">
        <f t="shared" si="63"/>
        <v>#REF!</v>
      </c>
      <c r="T213" s="18"/>
      <c r="U213" s="18"/>
      <c r="V213" s="97"/>
      <c r="W213" s="36" t="s">
        <v>173</v>
      </c>
      <c r="X213" s="148">
        <v>4.99</v>
      </c>
      <c r="Y213" s="148">
        <v>-4.99</v>
      </c>
      <c r="Z213" s="149"/>
    </row>
    <row r="214" spans="1:26" ht="18" hidden="1" customHeight="1" x14ac:dyDescent="0.25">
      <c r="A214" s="132" t="str">
        <f>Config!$B$19</f>
        <v>YANT</v>
      </c>
      <c r="B214" s="99"/>
      <c r="C214" s="99">
        <f>ACUMULADO!$AW$120</f>
        <v>0</v>
      </c>
      <c r="D214" s="99" t="e">
        <f>ACUMULADO!#REF!</f>
        <v>#REF!</v>
      </c>
      <c r="E214" s="99">
        <f t="shared" ref="E214:E215" si="64">E213</f>
        <v>100</v>
      </c>
      <c r="F214" s="138"/>
      <c r="G214" s="133" t="e">
        <f t="shared" si="60"/>
        <v>#REF!</v>
      </c>
      <c r="H214" s="134" t="e">
        <f t="shared" si="61"/>
        <v>#REF!</v>
      </c>
      <c r="I214" s="134" t="e">
        <f t="shared" si="62"/>
        <v>#REF!</v>
      </c>
      <c r="J214" s="135" t="e">
        <f t="shared" si="63"/>
        <v>#REF!</v>
      </c>
      <c r="T214" s="18"/>
      <c r="U214" s="18"/>
      <c r="V214" s="97"/>
      <c r="W214" s="36" t="s">
        <v>174</v>
      </c>
      <c r="X214" s="148">
        <v>0</v>
      </c>
      <c r="Y214" s="148"/>
      <c r="Z214" s="149"/>
    </row>
    <row r="215" spans="1:26" ht="18" hidden="1" customHeight="1" x14ac:dyDescent="0.25">
      <c r="A215" s="132" t="str">
        <f>Config!$B$20</f>
        <v>SORI</v>
      </c>
      <c r="B215" s="99"/>
      <c r="C215" s="99">
        <f>ACUMULADO!$AX$120</f>
        <v>0</v>
      </c>
      <c r="D215" s="99" t="e">
        <f>ACUMULADO!#REF!</f>
        <v>#REF!</v>
      </c>
      <c r="E215" s="99">
        <f t="shared" si="64"/>
        <v>100</v>
      </c>
      <c r="F215" s="138"/>
      <c r="G215" s="133" t="e">
        <f t="shared" si="60"/>
        <v>#REF!</v>
      </c>
      <c r="H215" s="134" t="e">
        <f t="shared" si="61"/>
        <v>#REF!</v>
      </c>
      <c r="I215" s="134" t="e">
        <f t="shared" si="62"/>
        <v>#REF!</v>
      </c>
      <c r="J215" s="135" t="e">
        <f t="shared" si="63"/>
        <v>#REF!</v>
      </c>
      <c r="T215" s="18"/>
      <c r="U215" s="18"/>
      <c r="V215" s="97"/>
      <c r="X215" s="149"/>
      <c r="Y215" s="149"/>
      <c r="Z215" s="149"/>
    </row>
    <row r="216" spans="1:26" ht="18" hidden="1" customHeight="1" x14ac:dyDescent="0.25">
      <c r="A216" s="132" t="str">
        <f>Config!$B$21</f>
        <v>JEPE</v>
      </c>
      <c r="B216" s="99"/>
      <c r="C216" s="99">
        <f>ACUMULADO!$AY$120</f>
        <v>0</v>
      </c>
      <c r="D216" s="99" t="e">
        <f>ACUMULADO!#REF!</f>
        <v>#REF!</v>
      </c>
      <c r="E216" s="99">
        <f>E212</f>
        <v>100</v>
      </c>
      <c r="F216" s="138"/>
      <c r="G216" s="133" t="e">
        <f>(C216-D216)*100/C216</f>
        <v>#REF!</v>
      </c>
      <c r="H216" s="134" t="e">
        <f t="shared" si="61"/>
        <v>#REF!</v>
      </c>
      <c r="I216" s="134" t="e">
        <f t="shared" si="62"/>
        <v>#REF!</v>
      </c>
      <c r="J216" s="135" t="e">
        <f t="shared" si="63"/>
        <v>#REF!</v>
      </c>
      <c r="T216" s="18"/>
      <c r="U216" s="18"/>
      <c r="V216" s="97"/>
      <c r="W216" s="36" t="s">
        <v>175</v>
      </c>
      <c r="X216" s="148">
        <v>5</v>
      </c>
      <c r="Y216" s="148">
        <v>-5</v>
      </c>
      <c r="Z216" s="149"/>
    </row>
    <row r="217" spans="1:26" ht="18" hidden="1" customHeight="1" x14ac:dyDescent="0.25">
      <c r="A217" s="132" t="str">
        <f>Config!$B$22</f>
        <v>ROQU</v>
      </c>
      <c r="B217" s="99"/>
      <c r="C217" s="99">
        <f>ACUMULADO!$AZ$120</f>
        <v>0</v>
      </c>
      <c r="D217" s="99" t="e">
        <f>ACUMULADO!#REF!</f>
        <v>#REF!</v>
      </c>
      <c r="E217" s="99">
        <f>E211</f>
        <v>100</v>
      </c>
      <c r="F217" s="138"/>
      <c r="G217" s="133" t="e">
        <f>(C217-D217)*100/C217</f>
        <v>#REF!</v>
      </c>
      <c r="H217" s="134" t="e">
        <f t="shared" si="61"/>
        <v>#REF!</v>
      </c>
      <c r="I217" s="134" t="e">
        <f t="shared" si="62"/>
        <v>#REF!</v>
      </c>
      <c r="J217" s="135" t="e">
        <f t="shared" si="63"/>
        <v>#REF!</v>
      </c>
      <c r="T217" s="18"/>
      <c r="U217" s="18"/>
    </row>
    <row r="218" spans="1:26" ht="18" hidden="1" customHeight="1" x14ac:dyDescent="0.25">
      <c r="A218" s="132" t="str">
        <f>Config!$B$23</f>
        <v>CALZ</v>
      </c>
      <c r="B218" s="99"/>
      <c r="C218" s="99">
        <f>ACUMULADO!$BA$120</f>
        <v>0</v>
      </c>
      <c r="D218" s="99" t="e">
        <f>ACUMULADO!#REF!</f>
        <v>#REF!</v>
      </c>
      <c r="E218" s="99">
        <f>E215</f>
        <v>100</v>
      </c>
      <c r="F218" s="138"/>
      <c r="G218" s="133" t="e">
        <f t="shared" si="60"/>
        <v>#REF!</v>
      </c>
      <c r="H218" s="134" t="e">
        <f t="shared" si="61"/>
        <v>#REF!</v>
      </c>
      <c r="I218" s="134" t="e">
        <f t="shared" si="62"/>
        <v>#REF!</v>
      </c>
      <c r="J218" s="135" t="e">
        <f t="shared" si="63"/>
        <v>#REF!</v>
      </c>
      <c r="T218" s="18"/>
      <c r="U218" s="18"/>
    </row>
    <row r="219" spans="1:26" ht="18" hidden="1" customHeight="1" x14ac:dyDescent="0.25">
      <c r="A219" s="132"/>
      <c r="B219" s="99"/>
      <c r="C219" s="99"/>
      <c r="D219" s="99"/>
      <c r="E219" s="99"/>
      <c r="F219" s="138"/>
      <c r="G219" s="133"/>
      <c r="H219" s="134"/>
      <c r="I219" s="134"/>
      <c r="J219" s="135"/>
      <c r="T219" s="18"/>
      <c r="U219" s="18"/>
      <c r="V219" s="105"/>
    </row>
    <row r="220" spans="1:26" ht="18" hidden="1" customHeight="1" x14ac:dyDescent="0.25">
      <c r="A220" s="139"/>
      <c r="B220" s="103"/>
      <c r="D220" s="101"/>
      <c r="E220" s="103"/>
      <c r="I220" s="103"/>
      <c r="J220" s="103"/>
      <c r="T220" s="18"/>
      <c r="U220" s="18"/>
    </row>
    <row r="221" spans="1:26" ht="18" hidden="1" customHeight="1" x14ac:dyDescent="0.25">
      <c r="A221" s="139"/>
      <c r="B221" s="103"/>
      <c r="D221" s="103"/>
      <c r="E221" s="103"/>
      <c r="I221" s="103"/>
      <c r="J221" s="103"/>
      <c r="T221" s="18"/>
      <c r="U221" s="18"/>
    </row>
    <row r="222" spans="1:26" ht="18" hidden="1" customHeight="1" x14ac:dyDescent="0.25">
      <c r="A222" s="139"/>
      <c r="B222" s="103"/>
      <c r="D222" s="103"/>
      <c r="E222" s="103"/>
      <c r="I222" s="103"/>
      <c r="J222" s="103"/>
      <c r="T222" s="18"/>
      <c r="U222" s="18"/>
    </row>
    <row r="223" spans="1:26" ht="18" hidden="1" customHeight="1" x14ac:dyDescent="0.25">
      <c r="A223" s="139"/>
      <c r="B223" s="103"/>
      <c r="D223" s="103"/>
      <c r="E223" s="103"/>
      <c r="I223" s="103"/>
      <c r="J223" s="103"/>
      <c r="T223" s="18"/>
      <c r="U223" s="18"/>
    </row>
    <row r="224" spans="1:26" ht="18" hidden="1" customHeight="1" x14ac:dyDescent="0.25">
      <c r="A224" s="139"/>
      <c r="B224" s="103"/>
      <c r="D224" s="103"/>
      <c r="E224" s="103"/>
      <c r="I224" s="103"/>
      <c r="J224" s="103"/>
      <c r="T224" s="18"/>
      <c r="U224" s="18"/>
    </row>
    <row r="225" spans="1:22" ht="18" hidden="1" customHeight="1" x14ac:dyDescent="0.25">
      <c r="A225" s="139"/>
      <c r="B225" s="103"/>
      <c r="D225" s="103"/>
      <c r="E225" s="103"/>
      <c r="I225" s="103"/>
      <c r="J225" s="103"/>
      <c r="T225" s="18"/>
      <c r="U225" s="18"/>
    </row>
    <row r="226" spans="1:22" ht="18" hidden="1" customHeight="1" x14ac:dyDescent="0.25">
      <c r="A226" s="139"/>
      <c r="B226" s="103"/>
      <c r="D226" s="103"/>
      <c r="E226" s="103"/>
      <c r="I226" s="103"/>
      <c r="J226" s="103"/>
      <c r="T226" s="18"/>
      <c r="U226" s="18"/>
    </row>
    <row r="227" spans="1:22" ht="18" hidden="1" customHeight="1" x14ac:dyDescent="0.25">
      <c r="A227" s="139"/>
      <c r="B227" s="103"/>
      <c r="D227" s="103"/>
      <c r="E227" s="103"/>
      <c r="I227" s="103"/>
      <c r="J227" s="103"/>
      <c r="T227" s="18"/>
      <c r="U227" s="18"/>
      <c r="V227" s="105"/>
    </row>
    <row r="228" spans="1:22" ht="18" hidden="1" customHeight="1" x14ac:dyDescent="0.25">
      <c r="A228" s="104" t="s">
        <v>176</v>
      </c>
      <c r="I228" s="103"/>
      <c r="J228" s="103"/>
      <c r="T228" s="18"/>
      <c r="U228" s="18"/>
      <c r="V228" s="105"/>
    </row>
    <row r="229" spans="1:22" ht="48" hidden="1" customHeight="1" thickBot="1" x14ac:dyDescent="0.25">
      <c r="A229" s="107" t="s">
        <v>2</v>
      </c>
      <c r="B229" s="108"/>
      <c r="C229" s="109" t="s">
        <v>177</v>
      </c>
      <c r="D229" s="108" t="s">
        <v>178</v>
      </c>
      <c r="E229" s="108" t="s">
        <v>1</v>
      </c>
      <c r="F229" s="110"/>
      <c r="G229" s="111" t="s">
        <v>10</v>
      </c>
      <c r="H229" s="112" t="s">
        <v>170</v>
      </c>
      <c r="I229" s="112" t="s">
        <v>171</v>
      </c>
      <c r="J229" s="112" t="s">
        <v>172</v>
      </c>
      <c r="T229" s="18"/>
      <c r="U229" s="18"/>
      <c r="V229" s="97" t="s">
        <v>179</v>
      </c>
    </row>
    <row r="230" spans="1:22" ht="18" hidden="1" customHeight="1" thickBot="1" x14ac:dyDescent="0.3">
      <c r="A230" s="118" t="str">
        <f>Config!$B$15</f>
        <v>RED</v>
      </c>
      <c r="B230" s="119">
        <f>SUM(B231:B239)</f>
        <v>0</v>
      </c>
      <c r="C230" s="119">
        <f>SUM(C231:C239)</f>
        <v>0</v>
      </c>
      <c r="D230" s="119" t="e">
        <f>SUM(D231:D239)</f>
        <v>#REF!</v>
      </c>
      <c r="E230" s="119">
        <f>Config!$D$9</f>
        <v>100</v>
      </c>
      <c r="F230" s="120"/>
      <c r="G230" s="119" t="e">
        <f t="shared" ref="G230:G238" si="65">(C230-D230)*100/C230</f>
        <v>#REF!</v>
      </c>
      <c r="H230" s="121" t="e">
        <f t="shared" ref="H230:H238" si="66">IF(G230&lt;=$Y$216,G230,IF(G230&gt;$X$216,G230,""))</f>
        <v>#REF!</v>
      </c>
      <c r="I230" s="121" t="e">
        <f t="shared" ref="I230:I238" si="67">IF(AND(G230&gt;$Y$216,G230&lt;$X$214),G230,IF(AND(G230&gt;$X$214,G230&lt;$X$216),G230,""))</f>
        <v>#REF!</v>
      </c>
      <c r="J230" s="119" t="e">
        <f t="shared" ref="J230:J238" si="68">IF(G230=$X$214,G230,"")</f>
        <v>#REF!</v>
      </c>
      <c r="T230" s="18"/>
      <c r="U230" s="18"/>
      <c r="V230" s="137" t="str">
        <f>$V$1&amp;"  "&amp;V229&amp;"  "&amp;$V$3&amp;"  "&amp;$V$2</f>
        <v>RED. MOYOBAMBA:  PORCENTAJE DE DESERCION VACUNA NEUMOCOCO EN MENORES DE 1 AÑO  - POR MICROREDES :   ENERO - MAYO 2022</v>
      </c>
    </row>
    <row r="231" spans="1:22" ht="18" hidden="1" customHeight="1" x14ac:dyDescent="0.25">
      <c r="A231" s="126" t="str">
        <f>Config!$B$16</f>
        <v>HOSP</v>
      </c>
      <c r="B231" s="127"/>
      <c r="C231" s="127">
        <f>ACUMULADO!$AT$116</f>
        <v>0</v>
      </c>
      <c r="D231" s="127" t="e">
        <f>ACUMULADO!#REF!</f>
        <v>#REF!</v>
      </c>
      <c r="E231" s="127">
        <f>E230</f>
        <v>100</v>
      </c>
      <c r="F231" s="128"/>
      <c r="G231" s="129" t="e">
        <f t="shared" si="65"/>
        <v>#REF!</v>
      </c>
      <c r="H231" s="130" t="e">
        <f t="shared" si="66"/>
        <v>#REF!</v>
      </c>
      <c r="I231" s="130" t="e">
        <f t="shared" si="67"/>
        <v>#REF!</v>
      </c>
      <c r="J231" s="131" t="e">
        <f t="shared" si="68"/>
        <v>#REF!</v>
      </c>
      <c r="T231" s="18"/>
      <c r="U231" s="18"/>
      <c r="V231" s="97" t="str">
        <f>"El gráfico muestra el avance en % donde se  observa deserción positiva y negativa : un nivel optimo es cuando hay 0 desercion, en proceso de -5 hasta +5 pasado esos parametos se considera un nivel feficiente"</f>
        <v>El gráfico muestra el avance en % donde se  observa deserción positiva y negativa : un nivel optimo es cuando hay 0 desercion, en proceso de -5 hasta +5 pasado esos parametos se considera un nivel feficiente</v>
      </c>
    </row>
    <row r="232" spans="1:22" ht="18" hidden="1" customHeight="1" x14ac:dyDescent="0.25">
      <c r="A232" s="132" t="str">
        <f>Config!$B$17</f>
        <v>LLUI</v>
      </c>
      <c r="B232" s="99"/>
      <c r="C232" s="99">
        <f>ACUMULADO!$AU$116</f>
        <v>0</v>
      </c>
      <c r="D232" s="99" t="e">
        <f>ACUMULADO!#REF!</f>
        <v>#REF!</v>
      </c>
      <c r="E232" s="99">
        <f>E237</f>
        <v>100</v>
      </c>
      <c r="F232" s="138"/>
      <c r="G232" s="133" t="e">
        <f>(C232-D232)*100/C232</f>
        <v>#REF!</v>
      </c>
      <c r="H232" s="134" t="e">
        <f t="shared" si="66"/>
        <v>#REF!</v>
      </c>
      <c r="I232" s="134" t="e">
        <f t="shared" si="67"/>
        <v>#REF!</v>
      </c>
      <c r="J232" s="135" t="e">
        <f t="shared" si="68"/>
        <v>#REF!</v>
      </c>
      <c r="T232" s="18"/>
      <c r="U232" s="18"/>
      <c r="V232" s="105"/>
    </row>
    <row r="233" spans="1:22" ht="18" hidden="1" customHeight="1" x14ac:dyDescent="0.25">
      <c r="A233" s="132" t="str">
        <f>Config!$B$18</f>
        <v>JERI</v>
      </c>
      <c r="B233" s="99"/>
      <c r="C233" s="99">
        <f>ACUMULADO!$AV$116</f>
        <v>0</v>
      </c>
      <c r="D233" s="99" t="e">
        <f>ACUMULADO!#REF!</f>
        <v>#REF!</v>
      </c>
      <c r="E233" s="99">
        <f>E236</f>
        <v>100</v>
      </c>
      <c r="F233" s="138"/>
      <c r="G233" s="133" t="e">
        <f t="shared" si="65"/>
        <v>#REF!</v>
      </c>
      <c r="H233" s="134" t="e">
        <f t="shared" si="66"/>
        <v>#REF!</v>
      </c>
      <c r="I233" s="134" t="e">
        <f t="shared" si="67"/>
        <v>#REF!</v>
      </c>
      <c r="J233" s="135" t="e">
        <f t="shared" si="68"/>
        <v>#REF!</v>
      </c>
      <c r="T233" s="18"/>
      <c r="U233" s="18"/>
      <c r="V233" s="105"/>
    </row>
    <row r="234" spans="1:22" ht="18" hidden="1" customHeight="1" x14ac:dyDescent="0.25">
      <c r="A234" s="132" t="str">
        <f>Config!$B$19</f>
        <v>YANT</v>
      </c>
      <c r="B234" s="99"/>
      <c r="C234" s="99">
        <f>ACUMULADO!$AW$116</f>
        <v>0</v>
      </c>
      <c r="D234" s="99" t="e">
        <f>ACUMULADO!#REF!</f>
        <v>#REF!</v>
      </c>
      <c r="E234" s="99">
        <f t="shared" ref="E234:E235" si="69">E233</f>
        <v>100</v>
      </c>
      <c r="F234" s="138"/>
      <c r="G234" s="133" t="e">
        <f t="shared" si="65"/>
        <v>#REF!</v>
      </c>
      <c r="H234" s="134" t="e">
        <f t="shared" si="66"/>
        <v>#REF!</v>
      </c>
      <c r="I234" s="134" t="e">
        <f t="shared" si="67"/>
        <v>#REF!</v>
      </c>
      <c r="J234" s="135" t="e">
        <f t="shared" si="68"/>
        <v>#REF!</v>
      </c>
      <c r="T234" s="18"/>
      <c r="U234" s="18"/>
      <c r="V234" s="105"/>
    </row>
    <row r="235" spans="1:22" ht="18" hidden="1" customHeight="1" x14ac:dyDescent="0.25">
      <c r="A235" s="132" t="str">
        <f>Config!$B$20</f>
        <v>SORI</v>
      </c>
      <c r="B235" s="99"/>
      <c r="C235" s="99">
        <f>ACUMULADO!$AX$116</f>
        <v>0</v>
      </c>
      <c r="D235" s="99" t="e">
        <f>ACUMULADO!#REF!</f>
        <v>#REF!</v>
      </c>
      <c r="E235" s="99">
        <f t="shared" si="69"/>
        <v>100</v>
      </c>
      <c r="F235" s="138"/>
      <c r="G235" s="133" t="e">
        <f t="shared" si="65"/>
        <v>#REF!</v>
      </c>
      <c r="H235" s="134" t="e">
        <f t="shared" si="66"/>
        <v>#REF!</v>
      </c>
      <c r="I235" s="134" t="e">
        <f t="shared" si="67"/>
        <v>#REF!</v>
      </c>
      <c r="J235" s="135" t="e">
        <f t="shared" si="68"/>
        <v>#REF!</v>
      </c>
      <c r="T235" s="18"/>
      <c r="U235" s="18"/>
      <c r="V235" s="105"/>
    </row>
    <row r="236" spans="1:22" ht="18" hidden="1" customHeight="1" x14ac:dyDescent="0.25">
      <c r="A236" s="132" t="str">
        <f>Config!$B$21</f>
        <v>JEPE</v>
      </c>
      <c r="B236" s="99"/>
      <c r="C236" s="99">
        <f>ACUMULADO!$AY$116</f>
        <v>0</v>
      </c>
      <c r="D236" s="99" t="e">
        <f>ACUMULADO!#REF!</f>
        <v>#REF!</v>
      </c>
      <c r="E236" s="99">
        <f>E232</f>
        <v>100</v>
      </c>
      <c r="F236" s="138"/>
      <c r="G236" s="133" t="e">
        <f>(C236-D236)*100/C236</f>
        <v>#REF!</v>
      </c>
      <c r="H236" s="134" t="e">
        <f t="shared" si="66"/>
        <v>#REF!</v>
      </c>
      <c r="I236" s="134" t="e">
        <f t="shared" si="67"/>
        <v>#REF!</v>
      </c>
      <c r="J236" s="135" t="e">
        <f>IF(G236=$X$214,G236,"")</f>
        <v>#REF!</v>
      </c>
      <c r="T236" s="18"/>
      <c r="U236" s="18"/>
      <c r="V236" s="105"/>
    </row>
    <row r="237" spans="1:22" ht="18" hidden="1" customHeight="1" x14ac:dyDescent="0.25">
      <c r="A237" s="132" t="str">
        <f>Config!$B$22</f>
        <v>ROQU</v>
      </c>
      <c r="B237" s="99"/>
      <c r="C237" s="99">
        <f>ACUMULADO!$AZ$116</f>
        <v>0</v>
      </c>
      <c r="D237" s="99" t="e">
        <f>ACUMULADO!#REF!</f>
        <v>#REF!</v>
      </c>
      <c r="E237" s="99">
        <f>E231</f>
        <v>100</v>
      </c>
      <c r="F237" s="138"/>
      <c r="G237" s="133" t="e">
        <f>(C237-D237)*100/C237</f>
        <v>#REF!</v>
      </c>
      <c r="H237" s="134" t="e">
        <f t="shared" si="66"/>
        <v>#REF!</v>
      </c>
      <c r="I237" s="134" t="e">
        <f t="shared" si="67"/>
        <v>#REF!</v>
      </c>
      <c r="J237" s="135" t="e">
        <f>IF(G237=$X$214,G237,"")</f>
        <v>#REF!</v>
      </c>
      <c r="T237" s="18"/>
      <c r="U237" s="18"/>
      <c r="V237" s="105"/>
    </row>
    <row r="238" spans="1:22" ht="18" hidden="1" customHeight="1" x14ac:dyDescent="0.25">
      <c r="A238" s="132" t="str">
        <f>Config!$B$23</f>
        <v>CALZ</v>
      </c>
      <c r="B238" s="99"/>
      <c r="C238" s="99">
        <f>ACUMULADO!$BA$116</f>
        <v>0</v>
      </c>
      <c r="D238" s="99" t="e">
        <f>ACUMULADO!#REF!</f>
        <v>#REF!</v>
      </c>
      <c r="E238" s="99">
        <f>E235</f>
        <v>100</v>
      </c>
      <c r="F238" s="138"/>
      <c r="G238" s="133" t="e">
        <f t="shared" si="65"/>
        <v>#REF!</v>
      </c>
      <c r="H238" s="134" t="e">
        <f t="shared" si="66"/>
        <v>#REF!</v>
      </c>
      <c r="I238" s="134" t="e">
        <f t="shared" si="67"/>
        <v>#REF!</v>
      </c>
      <c r="J238" s="135" t="e">
        <f t="shared" si="68"/>
        <v>#REF!</v>
      </c>
      <c r="T238" s="18"/>
      <c r="U238" s="18"/>
      <c r="V238" s="105"/>
    </row>
    <row r="239" spans="1:22" ht="18" hidden="1" customHeight="1" x14ac:dyDescent="0.25">
      <c r="A239" s="132"/>
      <c r="B239" s="99"/>
      <c r="C239" s="99"/>
      <c r="D239" s="99"/>
      <c r="E239" s="99"/>
      <c r="F239" s="138"/>
      <c r="G239" s="133"/>
      <c r="H239" s="134"/>
      <c r="I239" s="134"/>
      <c r="J239" s="135"/>
      <c r="T239" s="18"/>
      <c r="U239" s="18"/>
      <c r="V239" s="105"/>
    </row>
    <row r="240" spans="1:22" ht="18" hidden="1" customHeight="1" x14ac:dyDescent="0.25">
      <c r="D240" s="101"/>
      <c r="I240" s="48"/>
      <c r="J240" s="48"/>
      <c r="T240" s="18"/>
      <c r="U240" s="18"/>
      <c r="V240" s="105"/>
    </row>
    <row r="241" spans="1:22" ht="18" hidden="1" customHeight="1" x14ac:dyDescent="0.25">
      <c r="I241" s="48"/>
      <c r="J241" s="48"/>
      <c r="T241" s="18"/>
      <c r="U241" s="18"/>
    </row>
    <row r="242" spans="1:22" ht="18" hidden="1" customHeight="1" x14ac:dyDescent="0.25">
      <c r="A242" s="139"/>
      <c r="B242" s="103"/>
      <c r="D242" s="103"/>
      <c r="E242" s="103"/>
      <c r="I242" s="103"/>
      <c r="J242" s="103"/>
      <c r="T242" s="18"/>
      <c r="U242" s="18"/>
    </row>
    <row r="243" spans="1:22" ht="18" hidden="1" customHeight="1" x14ac:dyDescent="0.25">
      <c r="A243" s="139"/>
      <c r="B243" s="103"/>
      <c r="D243" s="103"/>
      <c r="E243" s="103"/>
      <c r="I243" s="103"/>
      <c r="J243" s="103"/>
      <c r="T243" s="18"/>
      <c r="U243" s="18"/>
    </row>
    <row r="244" spans="1:22" ht="18" hidden="1" customHeight="1" x14ac:dyDescent="0.25">
      <c r="A244" s="139"/>
      <c r="B244" s="103"/>
      <c r="D244" s="103"/>
      <c r="E244" s="103"/>
      <c r="I244" s="103"/>
      <c r="J244" s="103"/>
      <c r="T244" s="18"/>
      <c r="U244" s="18"/>
    </row>
    <row r="245" spans="1:22" ht="18" hidden="1" customHeight="1" x14ac:dyDescent="0.25">
      <c r="A245" s="139"/>
      <c r="B245" s="103"/>
      <c r="D245" s="103"/>
      <c r="E245" s="103"/>
      <c r="I245" s="103"/>
      <c r="J245" s="103"/>
      <c r="T245" s="18"/>
      <c r="U245" s="18"/>
    </row>
    <row r="246" spans="1:22" ht="18" hidden="1" customHeight="1" x14ac:dyDescent="0.25">
      <c r="A246" s="139"/>
      <c r="B246" s="103"/>
      <c r="D246" s="103"/>
      <c r="E246" s="103"/>
      <c r="I246" s="103"/>
      <c r="J246" s="103"/>
      <c r="T246" s="18"/>
      <c r="U246" s="18"/>
    </row>
    <row r="247" spans="1:22" ht="18" hidden="1" customHeight="1" x14ac:dyDescent="0.25">
      <c r="I247" s="103"/>
      <c r="J247" s="103"/>
      <c r="T247" s="18"/>
      <c r="U247" s="18"/>
    </row>
    <row r="248" spans="1:22" ht="18" hidden="1" customHeight="1" x14ac:dyDescent="0.25">
      <c r="A248" s="104" t="s">
        <v>180</v>
      </c>
      <c r="I248" s="103"/>
      <c r="J248" s="103"/>
      <c r="T248" s="18"/>
      <c r="U248" s="18"/>
      <c r="V248" s="97" t="s">
        <v>181</v>
      </c>
    </row>
    <row r="249" spans="1:22" ht="48" hidden="1" customHeight="1" thickBot="1" x14ac:dyDescent="0.25">
      <c r="A249" s="107" t="s">
        <v>2</v>
      </c>
      <c r="B249" s="108"/>
      <c r="C249" s="109" t="s">
        <v>182</v>
      </c>
      <c r="D249" s="108" t="s">
        <v>183</v>
      </c>
      <c r="E249" s="108" t="s">
        <v>1</v>
      </c>
      <c r="F249" s="110"/>
      <c r="G249" s="111" t="s">
        <v>10</v>
      </c>
      <c r="H249" s="112" t="s">
        <v>170</v>
      </c>
      <c r="I249" s="112" t="s">
        <v>171</v>
      </c>
      <c r="J249" s="112" t="s">
        <v>172</v>
      </c>
      <c r="T249" s="18"/>
      <c r="U249" s="18"/>
      <c r="V249" s="137" t="str">
        <f>$V$1&amp;"  "&amp;V248&amp;"  "&amp;$V$3&amp;"  "&amp;$V$2</f>
        <v>RED. MOYOBAMBA:  PORCENTAJE DE DESERCION VACUNA 1 Ref. DPT DE 1 AÑO   - POR MICROREDES :   ENERO - MAYO 2022</v>
      </c>
    </row>
    <row r="250" spans="1:22" ht="18" hidden="1" customHeight="1" thickBot="1" x14ac:dyDescent="0.3">
      <c r="A250" s="118" t="str">
        <f>Config!$B$15</f>
        <v>RED</v>
      </c>
      <c r="B250" s="119">
        <f>SUM(B251:B259)</f>
        <v>0</v>
      </c>
      <c r="C250" s="119">
        <f>SUM(C251:C259)</f>
        <v>0</v>
      </c>
      <c r="D250" s="119" t="e">
        <f>SUM(D251:D259)</f>
        <v>#REF!</v>
      </c>
      <c r="E250" s="119">
        <f>Config!$D$9</f>
        <v>100</v>
      </c>
      <c r="F250" s="120"/>
      <c r="G250" s="119" t="e">
        <f t="shared" ref="G250:G258" si="70">(C250-D250)*100/C250</f>
        <v>#REF!</v>
      </c>
      <c r="H250" s="121" t="e">
        <f t="shared" ref="H250:H258" si="71">IF(G250&lt;=$Y$216,G250,IF(G250&gt;$X$216,G250,""))</f>
        <v>#REF!</v>
      </c>
      <c r="I250" s="121" t="e">
        <f t="shared" ref="I250:I258" si="72">IF(AND(G250&gt;$Y$216,G250&lt;$X$214),G250,IF(AND(G250&gt;$X$214,G250&lt;$X$216),G250,""))</f>
        <v>#REF!</v>
      </c>
      <c r="J250" s="119" t="e">
        <f t="shared" ref="J250:J258" si="73">IF(G250=$X$214,G250,"")</f>
        <v>#REF!</v>
      </c>
      <c r="T250" s="18"/>
      <c r="U250" s="18"/>
    </row>
    <row r="251" spans="1:22" ht="18" hidden="1" customHeight="1" x14ac:dyDescent="0.25">
      <c r="A251" s="126" t="str">
        <f>Config!$B$16</f>
        <v>HOSP</v>
      </c>
      <c r="B251" s="127"/>
      <c r="C251" s="127">
        <f>ACUMULADO!$AT$117</f>
        <v>0</v>
      </c>
      <c r="D251" s="127" t="e">
        <f>ACUMULADO!#REF!</f>
        <v>#REF!</v>
      </c>
      <c r="E251" s="127">
        <f>E250</f>
        <v>100</v>
      </c>
      <c r="F251" s="128"/>
      <c r="G251" s="129" t="e">
        <f t="shared" si="70"/>
        <v>#REF!</v>
      </c>
      <c r="H251" s="130" t="e">
        <f t="shared" si="71"/>
        <v>#REF!</v>
      </c>
      <c r="I251" s="130" t="e">
        <f t="shared" si="72"/>
        <v>#REF!</v>
      </c>
      <c r="J251" s="131" t="e">
        <f t="shared" si="73"/>
        <v>#REF!</v>
      </c>
      <c r="T251" s="18"/>
      <c r="U251" s="18"/>
      <c r="V251" s="97" t="str">
        <f>"El gráfico muestra el avance en % donde se  observa deserción positiva y negativa : un nivel optimo es cuando hay 0 desercion, en proceso de -5 hasta +5 pasado esos parametos se considera un nivel feficiente"</f>
        <v>El gráfico muestra el avance en % donde se  observa deserción positiva y negativa : un nivel optimo es cuando hay 0 desercion, en proceso de -5 hasta +5 pasado esos parametos se considera un nivel feficiente</v>
      </c>
    </row>
    <row r="252" spans="1:22" ht="18" hidden="1" customHeight="1" x14ac:dyDescent="0.25">
      <c r="A252" s="132" t="str">
        <f>Config!$B$17</f>
        <v>LLUI</v>
      </c>
      <c r="B252" s="99"/>
      <c r="C252" s="99">
        <f>ACUMULADO!$AU$117</f>
        <v>0</v>
      </c>
      <c r="D252" s="99" t="e">
        <f>ACUMULADO!#REF!</f>
        <v>#REF!</v>
      </c>
      <c r="E252" s="99">
        <f>E257</f>
        <v>100</v>
      </c>
      <c r="F252" s="138"/>
      <c r="G252" s="133" t="e">
        <f t="shared" si="70"/>
        <v>#REF!</v>
      </c>
      <c r="H252" s="134" t="e">
        <f t="shared" si="71"/>
        <v>#REF!</v>
      </c>
      <c r="I252" s="134" t="e">
        <f t="shared" si="72"/>
        <v>#REF!</v>
      </c>
      <c r="J252" s="135" t="e">
        <f t="shared" si="73"/>
        <v>#REF!</v>
      </c>
      <c r="T252" s="18"/>
      <c r="U252" s="18"/>
      <c r="V252" s="105"/>
    </row>
    <row r="253" spans="1:22" ht="18" hidden="1" customHeight="1" x14ac:dyDescent="0.25">
      <c r="A253" s="132" t="str">
        <f>Config!$B$18</f>
        <v>JERI</v>
      </c>
      <c r="B253" s="99"/>
      <c r="C253" s="99">
        <f>ACUMULADO!$AV$117</f>
        <v>0</v>
      </c>
      <c r="D253" s="99" t="e">
        <f>ACUMULADO!#REF!</f>
        <v>#REF!</v>
      </c>
      <c r="E253" s="99">
        <f>E256</f>
        <v>100</v>
      </c>
      <c r="F253" s="138"/>
      <c r="G253" s="133" t="e">
        <f t="shared" si="70"/>
        <v>#REF!</v>
      </c>
      <c r="H253" s="134" t="e">
        <f t="shared" si="71"/>
        <v>#REF!</v>
      </c>
      <c r="I253" s="134" t="e">
        <f t="shared" si="72"/>
        <v>#REF!</v>
      </c>
      <c r="J253" s="135" t="e">
        <f t="shared" si="73"/>
        <v>#REF!</v>
      </c>
      <c r="T253" s="18"/>
      <c r="U253" s="18"/>
      <c r="V253" s="105"/>
    </row>
    <row r="254" spans="1:22" ht="18" hidden="1" customHeight="1" x14ac:dyDescent="0.25">
      <c r="A254" s="132" t="str">
        <f>Config!$B$19</f>
        <v>YANT</v>
      </c>
      <c r="B254" s="99"/>
      <c r="C254" s="99">
        <f>ACUMULADO!$AW$117</f>
        <v>0</v>
      </c>
      <c r="D254" s="99" t="e">
        <f>ACUMULADO!#REF!</f>
        <v>#REF!</v>
      </c>
      <c r="E254" s="99">
        <f t="shared" ref="E254:E255" si="74">E253</f>
        <v>100</v>
      </c>
      <c r="F254" s="138"/>
      <c r="G254" s="133" t="e">
        <f t="shared" si="70"/>
        <v>#REF!</v>
      </c>
      <c r="H254" s="134" t="e">
        <f t="shared" si="71"/>
        <v>#REF!</v>
      </c>
      <c r="I254" s="134" t="e">
        <f t="shared" si="72"/>
        <v>#REF!</v>
      </c>
      <c r="J254" s="135" t="e">
        <f t="shared" si="73"/>
        <v>#REF!</v>
      </c>
      <c r="T254" s="18"/>
      <c r="U254" s="18"/>
      <c r="V254" s="105"/>
    </row>
    <row r="255" spans="1:22" ht="18" hidden="1" customHeight="1" x14ac:dyDescent="0.25">
      <c r="A255" s="132" t="str">
        <f>Config!$B$20</f>
        <v>SORI</v>
      </c>
      <c r="B255" s="99"/>
      <c r="C255" s="99">
        <f>ACUMULADO!$AX$117</f>
        <v>0</v>
      </c>
      <c r="D255" s="99" t="e">
        <f>ACUMULADO!#REF!</f>
        <v>#REF!</v>
      </c>
      <c r="E255" s="99">
        <f t="shared" si="74"/>
        <v>100</v>
      </c>
      <c r="F255" s="138"/>
      <c r="G255" s="133" t="e">
        <f t="shared" si="70"/>
        <v>#REF!</v>
      </c>
      <c r="H255" s="134" t="e">
        <f t="shared" si="71"/>
        <v>#REF!</v>
      </c>
      <c r="I255" s="134" t="e">
        <f t="shared" si="72"/>
        <v>#REF!</v>
      </c>
      <c r="J255" s="135" t="e">
        <f t="shared" si="73"/>
        <v>#REF!</v>
      </c>
      <c r="T255" s="18"/>
      <c r="U255" s="18"/>
      <c r="V255" s="105"/>
    </row>
    <row r="256" spans="1:22" ht="18" hidden="1" customHeight="1" x14ac:dyDescent="0.25">
      <c r="A256" s="132" t="str">
        <f>Config!$B$21</f>
        <v>JEPE</v>
      </c>
      <c r="B256" s="99"/>
      <c r="C256" s="99">
        <f>ACUMULADO!$AY$117</f>
        <v>0</v>
      </c>
      <c r="D256" s="99" t="e">
        <f>ACUMULADO!#REF!</f>
        <v>#REF!</v>
      </c>
      <c r="E256" s="99">
        <f>E252</f>
        <v>100</v>
      </c>
      <c r="F256" s="138"/>
      <c r="G256" s="133" t="e">
        <f>(C256-D256)*100/C256</f>
        <v>#REF!</v>
      </c>
      <c r="H256" s="134" t="e">
        <f t="shared" si="71"/>
        <v>#REF!</v>
      </c>
      <c r="I256" s="134" t="e">
        <f t="shared" si="72"/>
        <v>#REF!</v>
      </c>
      <c r="J256" s="135" t="e">
        <f>IF(G256=$X$214,G256,"")</f>
        <v>#REF!</v>
      </c>
      <c r="T256" s="18"/>
      <c r="U256" s="18"/>
      <c r="V256" s="105"/>
    </row>
    <row r="257" spans="1:23" ht="18" hidden="1" customHeight="1" x14ac:dyDescent="0.25">
      <c r="A257" s="132" t="str">
        <f>Config!$B$22</f>
        <v>ROQU</v>
      </c>
      <c r="B257" s="99"/>
      <c r="C257" s="99">
        <f>ACUMULADO!$AZ$117</f>
        <v>0</v>
      </c>
      <c r="D257" s="99" t="e">
        <f>ACUMULADO!#REF!</f>
        <v>#REF!</v>
      </c>
      <c r="E257" s="99">
        <f>E251</f>
        <v>100</v>
      </c>
      <c r="F257" s="138"/>
      <c r="G257" s="133" t="e">
        <f>(C257-D257)*100/C257</f>
        <v>#REF!</v>
      </c>
      <c r="H257" s="134" t="e">
        <f t="shared" si="71"/>
        <v>#REF!</v>
      </c>
      <c r="I257" s="134" t="e">
        <f t="shared" si="72"/>
        <v>#REF!</v>
      </c>
      <c r="J257" s="135" t="e">
        <f>IF(G257=$X$214,G257,"")</f>
        <v>#REF!</v>
      </c>
      <c r="T257" s="18"/>
      <c r="U257" s="18"/>
      <c r="V257" s="105"/>
    </row>
    <row r="258" spans="1:23" ht="18" hidden="1" customHeight="1" x14ac:dyDescent="0.25">
      <c r="A258" s="132" t="str">
        <f>Config!$B$23</f>
        <v>CALZ</v>
      </c>
      <c r="B258" s="99"/>
      <c r="C258" s="99">
        <f>ACUMULADO!$BA$117</f>
        <v>0</v>
      </c>
      <c r="D258" s="99" t="e">
        <f>ACUMULADO!#REF!</f>
        <v>#REF!</v>
      </c>
      <c r="E258" s="99">
        <f>E255</f>
        <v>100</v>
      </c>
      <c r="F258" s="138"/>
      <c r="G258" s="133" t="e">
        <f t="shared" si="70"/>
        <v>#REF!</v>
      </c>
      <c r="H258" s="134" t="e">
        <f t="shared" si="71"/>
        <v>#REF!</v>
      </c>
      <c r="I258" s="134" t="e">
        <f t="shared" si="72"/>
        <v>#REF!</v>
      </c>
      <c r="J258" s="135" t="e">
        <f t="shared" si="73"/>
        <v>#REF!</v>
      </c>
      <c r="T258" s="18"/>
      <c r="U258" s="18"/>
    </row>
    <row r="259" spans="1:23" ht="18" hidden="1" customHeight="1" x14ac:dyDescent="0.25">
      <c r="A259" s="132"/>
      <c r="B259" s="99"/>
      <c r="C259" s="99"/>
      <c r="D259" s="99"/>
      <c r="E259" s="99"/>
      <c r="F259" s="138"/>
      <c r="G259" s="133"/>
      <c r="H259" s="134"/>
      <c r="I259" s="134"/>
      <c r="J259" s="135"/>
      <c r="T259" s="18"/>
      <c r="U259" s="18"/>
      <c r="V259" s="105"/>
    </row>
    <row r="260" spans="1:23" ht="18" hidden="1" customHeight="1" x14ac:dyDescent="0.25">
      <c r="D260" s="101"/>
      <c r="I260" s="48"/>
      <c r="J260" s="48"/>
      <c r="T260" s="18"/>
      <c r="U260" s="18"/>
    </row>
    <row r="261" spans="1:23" ht="18" hidden="1" customHeight="1" x14ac:dyDescent="0.25">
      <c r="A261" s="139"/>
      <c r="B261" s="103"/>
      <c r="D261" s="103"/>
      <c r="E261" s="103"/>
      <c r="I261" s="103"/>
      <c r="J261" s="103"/>
      <c r="T261" s="18"/>
      <c r="U261" s="18"/>
    </row>
    <row r="262" spans="1:23" ht="18" hidden="1" customHeight="1" x14ac:dyDescent="0.25">
      <c r="A262" s="139"/>
      <c r="B262" s="103"/>
      <c r="D262" s="103"/>
      <c r="E262" s="103"/>
      <c r="I262" s="103"/>
      <c r="J262" s="103"/>
      <c r="T262" s="18"/>
      <c r="U262" s="18"/>
    </row>
    <row r="263" spans="1:23" ht="18" hidden="1" customHeight="1" x14ac:dyDescent="0.25">
      <c r="A263" s="139"/>
      <c r="B263" s="103"/>
      <c r="D263" s="103"/>
      <c r="E263" s="103"/>
      <c r="I263" s="103"/>
      <c r="J263" s="103"/>
      <c r="T263" s="18"/>
      <c r="U263" s="18"/>
    </row>
    <row r="264" spans="1:23" ht="18" hidden="1" customHeight="1" x14ac:dyDescent="0.25">
      <c r="A264" s="150"/>
      <c r="B264" s="151"/>
      <c r="C264" s="152"/>
      <c r="D264" s="151"/>
      <c r="E264" s="151"/>
      <c r="F264" s="151"/>
      <c r="G264" s="151"/>
      <c r="H264" s="151"/>
      <c r="I264" s="151"/>
      <c r="J264" s="151"/>
      <c r="T264" s="18"/>
      <c r="U264" s="18"/>
    </row>
    <row r="265" spans="1:23" ht="18" hidden="1" customHeight="1" x14ac:dyDescent="0.25">
      <c r="A265" s="139"/>
      <c r="B265" s="103"/>
      <c r="D265" s="103"/>
      <c r="E265" s="103"/>
      <c r="I265" s="103"/>
      <c r="J265" s="103"/>
      <c r="T265" s="18"/>
      <c r="W265" s="98"/>
    </row>
    <row r="266" spans="1:23" ht="18" hidden="1" customHeight="1" x14ac:dyDescent="0.25">
      <c r="I266" s="103"/>
      <c r="J266" s="103"/>
      <c r="T266" s="18"/>
      <c r="W266" s="98"/>
    </row>
    <row r="267" spans="1:23" ht="18" customHeight="1" x14ac:dyDescent="0.25">
      <c r="I267" s="103"/>
      <c r="J267" s="103"/>
      <c r="T267" s="18"/>
      <c r="W267" s="98"/>
    </row>
    <row r="268" spans="1:23" ht="18" customHeight="1" x14ac:dyDescent="0.25">
      <c r="B268" s="145"/>
      <c r="C268" s="144"/>
      <c r="D268" s="145"/>
      <c r="E268" s="145"/>
      <c r="F268" s="146"/>
      <c r="I268" s="103"/>
      <c r="J268" s="103"/>
      <c r="T268" s="18"/>
      <c r="W268" s="98"/>
    </row>
    <row r="269" spans="1:23" ht="18" customHeight="1" x14ac:dyDescent="0.25">
      <c r="A269" s="104" t="str">
        <f>METAS!B101</f>
        <v xml:space="preserve"> NIÑO DE 4 AÑOS CON 2DO REFUERZO DE DPT Y 2DO REFUERZO DE APO</v>
      </c>
      <c r="B269" s="145"/>
      <c r="C269" s="144"/>
      <c r="D269" s="145"/>
      <c r="E269" s="145"/>
      <c r="F269" s="146"/>
      <c r="I269" s="103"/>
      <c r="J269" s="103"/>
      <c r="T269" s="18"/>
      <c r="V269" s="97" t="str">
        <f>A269</f>
        <v xml:space="preserve"> NIÑO DE 4 AÑOS CON 2DO REFUERZO DE DPT Y 2DO REFUERZO DE APO</v>
      </c>
      <c r="W269" s="98"/>
    </row>
    <row r="270" spans="1:23" ht="48" customHeight="1" x14ac:dyDescent="0.25">
      <c r="A270" s="107" t="s">
        <v>2</v>
      </c>
      <c r="B270" s="108" t="s">
        <v>164</v>
      </c>
      <c r="C270" s="109" t="s">
        <v>71</v>
      </c>
      <c r="D270" s="108" t="s">
        <v>267</v>
      </c>
      <c r="E270" s="108" t="s">
        <v>1</v>
      </c>
      <c r="F270" s="110"/>
      <c r="G270" s="111" t="s">
        <v>10</v>
      </c>
      <c r="H270" s="112" t="str">
        <f>"DEFICIENTE &lt;= "&amp;$E$3</f>
        <v>DEFICIENTE &lt;= 37,5</v>
      </c>
      <c r="I270" s="112" t="str">
        <f>"PROCESO &gt; "&amp;$E$3&amp;"  -  &lt; "&amp;$F$3</f>
        <v>PROCESO &gt; 37,5  -  &lt; 41,7</v>
      </c>
      <c r="J270" s="112" t="str">
        <f>"OPTIMO &gt;= "&amp;$F$3</f>
        <v>OPTIMO &gt;= 41,7</v>
      </c>
      <c r="T270" s="18"/>
      <c r="V270" s="137" t="str">
        <f>$V$1&amp;"  "&amp;V269&amp;"  "&amp;$V$3&amp;"  "&amp;$V$2</f>
        <v>RED. MOYOBAMBA:   NIÑO DE 4 AÑOS CON 2DO REFUERZO DE DPT Y 2DO REFUERZO DE APO  - POR MICROREDES :   ENERO - MAYO 2022</v>
      </c>
      <c r="W270" s="98"/>
    </row>
    <row r="271" spans="1:23" ht="18" customHeight="1" thickBot="1" x14ac:dyDescent="0.3">
      <c r="A271" s="118" t="str">
        <f>Config!$B$15</f>
        <v>RED</v>
      </c>
      <c r="B271" s="119">
        <f>SUM(B272:B280)</f>
        <v>2724</v>
      </c>
      <c r="C271" s="119">
        <f>SUM(C272:C280)</f>
        <v>1138</v>
      </c>
      <c r="D271" s="119">
        <f>SUM(D272:D280)</f>
        <v>325</v>
      </c>
      <c r="E271" s="119">
        <f>Config!$C$9</f>
        <v>41.666666666666671</v>
      </c>
      <c r="F271" s="120"/>
      <c r="G271" s="119">
        <f t="shared" ref="G271:G276" si="75">IFERROR(ROUND(D271*100/B271,2),0)</f>
        <v>11.93</v>
      </c>
      <c r="H271" s="121">
        <f t="shared" ref="H271:H280" si="76">IF(G271&lt;=$E$3,G271,"")</f>
        <v>11.93</v>
      </c>
      <c r="I271" s="121" t="str">
        <f t="shared" ref="I271:I280" si="77">IF(G271&gt;$E$3,IF(G271&lt;$F$3,G271,""),"")</f>
        <v/>
      </c>
      <c r="J271" s="119" t="str">
        <f t="shared" ref="J271:J280" si="78">IF(G271&gt;=$F$3,G271,"")</f>
        <v/>
      </c>
      <c r="T271" s="18"/>
      <c r="V271" s="97"/>
      <c r="W271" s="98"/>
    </row>
    <row r="272" spans="1:23" ht="18" customHeight="1" x14ac:dyDescent="0.25">
      <c r="A272" s="126" t="str">
        <f>Config!$B$16</f>
        <v>HOSP</v>
      </c>
      <c r="B272" s="127">
        <f>METAS!$AR$101</f>
        <v>0</v>
      </c>
      <c r="C272" s="127">
        <f>ROUNDUP((B272/12)*Config!$C$6,0)</f>
        <v>0</v>
      </c>
      <c r="D272" s="127">
        <f>ACUMULADO!$AT$14</f>
        <v>0</v>
      </c>
      <c r="E272" s="128">
        <f>E271</f>
        <v>41.666666666666671</v>
      </c>
      <c r="F272" s="128"/>
      <c r="G272" s="129">
        <f t="shared" si="75"/>
        <v>0</v>
      </c>
      <c r="H272" s="130">
        <f t="shared" si="76"/>
        <v>0</v>
      </c>
      <c r="I272" s="130" t="str">
        <f t="shared" si="77"/>
        <v/>
      </c>
      <c r="J272" s="131" t="str">
        <f t="shared" si="78"/>
        <v/>
      </c>
      <c r="T272" s="18"/>
      <c r="V272" s="97"/>
      <c r="W272" s="98"/>
    </row>
    <row r="273" spans="1:23" ht="18" customHeight="1" x14ac:dyDescent="0.25">
      <c r="A273" s="132" t="str">
        <f>Config!$B$17</f>
        <v>LLUI</v>
      </c>
      <c r="B273" s="127">
        <f>METAS!$AS$101</f>
        <v>1158</v>
      </c>
      <c r="C273" s="99">
        <f>ROUNDUP((B273/12)*Config!$C$6,0)</f>
        <v>483</v>
      </c>
      <c r="D273" s="127">
        <f>ACUMULADO!$AU$14</f>
        <v>126</v>
      </c>
      <c r="E273" s="128">
        <f t="shared" ref="E273:E280" si="79">E272</f>
        <v>41.666666666666671</v>
      </c>
      <c r="F273" s="138"/>
      <c r="G273" s="133">
        <f t="shared" si="75"/>
        <v>10.88</v>
      </c>
      <c r="H273" s="134">
        <f t="shared" si="76"/>
        <v>10.88</v>
      </c>
      <c r="I273" s="134" t="str">
        <f t="shared" si="77"/>
        <v/>
      </c>
      <c r="J273" s="135" t="str">
        <f t="shared" si="78"/>
        <v/>
      </c>
      <c r="T273" s="18"/>
      <c r="V273" s="97"/>
      <c r="W273" s="98"/>
    </row>
    <row r="274" spans="1:23" ht="18" customHeight="1" x14ac:dyDescent="0.25">
      <c r="A274" s="132" t="str">
        <f>Config!$B$18</f>
        <v>JERI</v>
      </c>
      <c r="B274" s="127">
        <f>METAS!$AT$101</f>
        <v>115</v>
      </c>
      <c r="C274" s="99">
        <f>ROUNDUP((B274/12)*Config!$C$6,0)</f>
        <v>48</v>
      </c>
      <c r="D274" s="127">
        <f>ACUMULADO!$AV$14</f>
        <v>16</v>
      </c>
      <c r="E274" s="128">
        <f t="shared" si="79"/>
        <v>41.666666666666671</v>
      </c>
      <c r="F274" s="138"/>
      <c r="G274" s="133">
        <f t="shared" si="75"/>
        <v>13.91</v>
      </c>
      <c r="H274" s="134">
        <f t="shared" si="76"/>
        <v>13.91</v>
      </c>
      <c r="I274" s="134" t="str">
        <f t="shared" si="77"/>
        <v/>
      </c>
      <c r="J274" s="135" t="str">
        <f t="shared" si="78"/>
        <v/>
      </c>
      <c r="T274" s="18"/>
      <c r="V274" s="97"/>
      <c r="W274" s="98"/>
    </row>
    <row r="275" spans="1:23" ht="18" customHeight="1" x14ac:dyDescent="0.25">
      <c r="A275" s="132" t="str">
        <f>Config!$B$19</f>
        <v>YANT</v>
      </c>
      <c r="B275" s="127">
        <f>METAS!$AU$101</f>
        <v>218</v>
      </c>
      <c r="C275" s="99">
        <f>ROUNDUP((B275/12)*Config!$C$6,0)</f>
        <v>91</v>
      </c>
      <c r="D275" s="127">
        <f>ACUMULADO!$AW$14</f>
        <v>26</v>
      </c>
      <c r="E275" s="128">
        <f t="shared" si="79"/>
        <v>41.666666666666671</v>
      </c>
      <c r="F275" s="138"/>
      <c r="G275" s="133">
        <f t="shared" si="75"/>
        <v>11.93</v>
      </c>
      <c r="H275" s="134">
        <f t="shared" si="76"/>
        <v>11.93</v>
      </c>
      <c r="I275" s="134" t="str">
        <f t="shared" si="77"/>
        <v/>
      </c>
      <c r="J275" s="135" t="str">
        <f t="shared" si="78"/>
        <v/>
      </c>
      <c r="T275" s="18"/>
      <c r="V275" s="97"/>
      <c r="W275" s="98"/>
    </row>
    <row r="276" spans="1:23" ht="18" customHeight="1" x14ac:dyDescent="0.25">
      <c r="A276" s="132" t="str">
        <f>Config!$B$20</f>
        <v>SORI</v>
      </c>
      <c r="B276" s="127">
        <f>METAS!$AV$101</f>
        <v>487</v>
      </c>
      <c r="C276" s="99">
        <f>ROUNDUP((B276/12)*Config!$C$6,0)</f>
        <v>203</v>
      </c>
      <c r="D276" s="127">
        <f>ACUMULADO!$AX$14</f>
        <v>82</v>
      </c>
      <c r="E276" s="128">
        <f t="shared" si="79"/>
        <v>41.666666666666671</v>
      </c>
      <c r="F276" s="138"/>
      <c r="G276" s="133">
        <f t="shared" si="75"/>
        <v>16.84</v>
      </c>
      <c r="H276" s="134">
        <f t="shared" si="76"/>
        <v>16.84</v>
      </c>
      <c r="I276" s="134" t="str">
        <f t="shared" si="77"/>
        <v/>
      </c>
      <c r="J276" s="135" t="str">
        <f t="shared" si="78"/>
        <v/>
      </c>
      <c r="T276" s="18"/>
      <c r="V276" s="97"/>
      <c r="W276" s="98"/>
    </row>
    <row r="277" spans="1:23" ht="18" customHeight="1" x14ac:dyDescent="0.25">
      <c r="A277" s="132" t="str">
        <f>Config!$B$21</f>
        <v>JEPE</v>
      </c>
      <c r="B277" s="127">
        <f>METAS!$AW$101</f>
        <v>222</v>
      </c>
      <c r="C277" s="99">
        <f>ROUNDUP((B277/12)*Config!$C$6,0)</f>
        <v>93</v>
      </c>
      <c r="D277" s="127">
        <f>ACUMULADO!$AY$14</f>
        <v>42</v>
      </c>
      <c r="E277" s="128">
        <f t="shared" si="79"/>
        <v>41.666666666666671</v>
      </c>
      <c r="F277" s="138"/>
      <c r="G277" s="133">
        <f>IFERROR(ROUND(D277*100/B277,2),0)</f>
        <v>18.920000000000002</v>
      </c>
      <c r="H277" s="134">
        <f t="shared" si="76"/>
        <v>18.920000000000002</v>
      </c>
      <c r="I277" s="134" t="str">
        <f t="shared" si="77"/>
        <v/>
      </c>
      <c r="J277" s="135" t="str">
        <f t="shared" si="78"/>
        <v/>
      </c>
      <c r="T277" s="18"/>
      <c r="V277" s="97"/>
      <c r="W277" s="98"/>
    </row>
    <row r="278" spans="1:23" ht="18" customHeight="1" x14ac:dyDescent="0.25">
      <c r="A278" s="132" t="str">
        <f>Config!$B$22</f>
        <v>ROQU</v>
      </c>
      <c r="B278" s="127">
        <f>METAS!$AX$101</f>
        <v>185</v>
      </c>
      <c r="C278" s="99">
        <f>ROUNDUP((B278/12)*Config!$C$6,0)</f>
        <v>78</v>
      </c>
      <c r="D278" s="127">
        <f>ACUMULADO!$AZ$14</f>
        <v>6</v>
      </c>
      <c r="E278" s="128">
        <f t="shared" si="79"/>
        <v>41.666666666666671</v>
      </c>
      <c r="F278" s="138"/>
      <c r="G278" s="133">
        <f>IFERROR(ROUND(D278*100/B278,2),0)</f>
        <v>3.24</v>
      </c>
      <c r="H278" s="134">
        <f t="shared" si="76"/>
        <v>3.24</v>
      </c>
      <c r="I278" s="134" t="str">
        <f t="shared" si="77"/>
        <v/>
      </c>
      <c r="J278" s="135" t="str">
        <f t="shared" si="78"/>
        <v/>
      </c>
      <c r="T278" s="18"/>
      <c r="V278" s="105"/>
      <c r="W278" s="98"/>
    </row>
    <row r="279" spans="1:23" ht="18" customHeight="1" x14ac:dyDescent="0.25">
      <c r="A279" s="132" t="str">
        <f>Config!$B$23</f>
        <v>CALZ</v>
      </c>
      <c r="B279" s="127">
        <f>METAS!$AY$101</f>
        <v>155</v>
      </c>
      <c r="C279" s="99">
        <f>ROUNDUP((B279/12)*Config!$C$6,0)</f>
        <v>65</v>
      </c>
      <c r="D279" s="127">
        <f>ACUMULADO!$BA$14</f>
        <v>25</v>
      </c>
      <c r="E279" s="128">
        <f t="shared" si="79"/>
        <v>41.666666666666671</v>
      </c>
      <c r="F279" s="138"/>
      <c r="G279" s="133">
        <f t="shared" ref="G279:G280" si="80">IFERROR(ROUND(D279*100/B279,2),0)</f>
        <v>16.13</v>
      </c>
      <c r="H279" s="134">
        <f t="shared" si="76"/>
        <v>16.13</v>
      </c>
      <c r="I279" s="134" t="str">
        <f t="shared" si="77"/>
        <v/>
      </c>
      <c r="J279" s="135" t="str">
        <f t="shared" si="78"/>
        <v/>
      </c>
      <c r="T279" s="18"/>
      <c r="V279" s="105"/>
      <c r="W279" s="98"/>
    </row>
    <row r="280" spans="1:23" ht="18" customHeight="1" x14ac:dyDescent="0.25">
      <c r="A280" s="132" t="str">
        <f>Config!$B$24</f>
        <v>PUEB</v>
      </c>
      <c r="B280" s="127">
        <f>METAS!$AZ$101</f>
        <v>184</v>
      </c>
      <c r="C280" s="99">
        <f>ROUNDUP((B280/12)*Config!$C$6,0)</f>
        <v>77</v>
      </c>
      <c r="D280" s="127">
        <f>ACUMULADO!$BB$14</f>
        <v>2</v>
      </c>
      <c r="E280" s="128">
        <f t="shared" si="79"/>
        <v>41.666666666666671</v>
      </c>
      <c r="F280" s="138"/>
      <c r="G280" s="133">
        <f t="shared" si="80"/>
        <v>1.0900000000000001</v>
      </c>
      <c r="H280" s="134">
        <f t="shared" si="76"/>
        <v>1.0900000000000001</v>
      </c>
      <c r="I280" s="134" t="str">
        <f t="shared" si="77"/>
        <v/>
      </c>
      <c r="J280" s="135" t="str">
        <f t="shared" si="78"/>
        <v/>
      </c>
      <c r="T280" s="18"/>
      <c r="W280" s="98"/>
    </row>
    <row r="281" spans="1:23" ht="18" customHeight="1" x14ac:dyDescent="0.25">
      <c r="A281" s="139"/>
      <c r="B281" s="103"/>
      <c r="D281" s="101"/>
      <c r="E281" s="103"/>
      <c r="I281" s="103"/>
      <c r="J281" s="103"/>
      <c r="T281" s="18"/>
      <c r="W281" s="98"/>
    </row>
    <row r="282" spans="1:23" ht="18" customHeight="1" x14ac:dyDescent="0.25">
      <c r="A282" s="139"/>
      <c r="B282" s="103"/>
      <c r="D282" s="103"/>
      <c r="E282" s="103"/>
      <c r="I282" s="103"/>
      <c r="J282" s="103"/>
      <c r="T282" s="18"/>
      <c r="W282" s="98"/>
    </row>
    <row r="283" spans="1:23" ht="18" customHeight="1" x14ac:dyDescent="0.25">
      <c r="A283" s="139"/>
      <c r="B283" s="103"/>
      <c r="D283" s="103"/>
      <c r="E283" s="103"/>
      <c r="I283" s="103"/>
      <c r="J283" s="103"/>
      <c r="T283" s="18"/>
      <c r="W283" s="98"/>
    </row>
    <row r="284" spans="1:23" ht="18" customHeight="1" x14ac:dyDescent="0.25">
      <c r="A284" s="139"/>
      <c r="B284" s="103"/>
      <c r="D284" s="103"/>
      <c r="E284" s="103"/>
      <c r="I284" s="103"/>
      <c r="J284" s="103"/>
      <c r="T284" s="18"/>
      <c r="W284" s="98"/>
    </row>
    <row r="285" spans="1:23" ht="18" customHeight="1" x14ac:dyDescent="0.25">
      <c r="A285" s="139"/>
      <c r="B285" s="103"/>
      <c r="D285" s="103"/>
      <c r="E285" s="103"/>
      <c r="I285" s="103"/>
      <c r="J285" s="103"/>
      <c r="T285" s="18"/>
      <c r="W285" s="98"/>
    </row>
    <row r="286" spans="1:23" ht="18" customHeight="1" x14ac:dyDescent="0.25">
      <c r="A286" s="139"/>
      <c r="B286" s="103"/>
      <c r="D286" s="103"/>
      <c r="E286" s="103"/>
      <c r="I286" s="103"/>
      <c r="J286" s="103"/>
      <c r="T286" s="18"/>
      <c r="W286" s="98"/>
    </row>
    <row r="287" spans="1:23" ht="18" customHeight="1" x14ac:dyDescent="0.25">
      <c r="A287" s="139"/>
      <c r="B287" s="103"/>
      <c r="D287" s="103"/>
      <c r="E287" s="103"/>
      <c r="I287" s="103"/>
      <c r="J287" s="103"/>
      <c r="T287" s="18"/>
      <c r="W287" s="98"/>
    </row>
    <row r="288" spans="1:23" ht="18" hidden="1" customHeight="1" x14ac:dyDescent="0.25">
      <c r="A288" s="139"/>
      <c r="B288" s="103"/>
      <c r="D288" s="103"/>
      <c r="E288" s="103"/>
      <c r="I288" s="103"/>
      <c r="J288" s="103"/>
      <c r="T288" s="18"/>
      <c r="W288" s="98"/>
    </row>
    <row r="289" spans="1:23" ht="18" hidden="1" customHeight="1" x14ac:dyDescent="0.25">
      <c r="A289" s="104" t="s">
        <v>184</v>
      </c>
      <c r="I289" s="103"/>
      <c r="J289" s="103"/>
      <c r="T289" s="18"/>
      <c r="V289" s="97" t="str">
        <f>A289</f>
        <v>15. NIÑOS DE &lt; 1 AÑOS CONTROLADOS CRED</v>
      </c>
      <c r="W289" s="98"/>
    </row>
    <row r="290" spans="1:23" ht="48" hidden="1" customHeight="1" x14ac:dyDescent="0.25">
      <c r="A290" s="107" t="s">
        <v>2</v>
      </c>
      <c r="B290" s="108" t="s">
        <v>164</v>
      </c>
      <c r="C290" s="109" t="s">
        <v>71</v>
      </c>
      <c r="D290" s="108" t="s">
        <v>185</v>
      </c>
      <c r="E290" s="108" t="s">
        <v>1</v>
      </c>
      <c r="F290" s="110"/>
      <c r="G290" s="111" t="s">
        <v>10</v>
      </c>
      <c r="H290" s="112" t="str">
        <f>"DEFICIENTE &lt;= "&amp;$E$3</f>
        <v>DEFICIENTE &lt;= 37,5</v>
      </c>
      <c r="I290" s="112" t="str">
        <f>"PROCESO &gt; "&amp;$E$3&amp;"  -  &lt; "&amp;$F$3</f>
        <v>PROCESO &gt; 37,5  -  &lt; 41,7</v>
      </c>
      <c r="J290" s="112" t="str">
        <f>"OPTIMO &gt;= "&amp;$F$3</f>
        <v>OPTIMO &gt;= 41,7</v>
      </c>
      <c r="T290" s="18"/>
      <c r="V290" s="137" t="str">
        <f>$V$1&amp;"  "&amp;V289&amp;"  "&amp;$V$3&amp;"  "&amp;$V$2</f>
        <v>RED. MOYOBAMBA:  15. NIÑOS DE &lt; 1 AÑOS CONTROLADOS CRED  - POR MICROREDES :   ENERO - MAYO 2022</v>
      </c>
      <c r="W290" s="98"/>
    </row>
    <row r="291" spans="1:23" ht="18" hidden="1" customHeight="1" thickBot="1" x14ac:dyDescent="0.3">
      <c r="A291" s="118" t="str">
        <f>Config!$B$15</f>
        <v>RED</v>
      </c>
      <c r="B291" s="119">
        <f>SUM(B292:B300)</f>
        <v>2469</v>
      </c>
      <c r="C291" s="119">
        <f>SUM(C292:C300)</f>
        <v>1032</v>
      </c>
      <c r="D291" s="119" t="e">
        <f>SUM(D292:D300)</f>
        <v>#REF!</v>
      </c>
      <c r="E291" s="119">
        <f>Config!$C$9</f>
        <v>41.666666666666671</v>
      </c>
      <c r="F291" s="120"/>
      <c r="G291" s="119">
        <f t="shared" ref="G291:G299" si="81">IFERROR(ROUND(D291*100/B291,1),0)</f>
        <v>0</v>
      </c>
      <c r="H291" s="121">
        <f t="shared" ref="H291:H299" si="82">IF(G291&lt;=$E$3,G291,"")</f>
        <v>0</v>
      </c>
      <c r="I291" s="121" t="str">
        <f t="shared" ref="I291:I299" si="83">IF(G291&gt;$E$3,IF(G291&lt;$F$3,G291,""),"")</f>
        <v/>
      </c>
      <c r="J291" s="119" t="str">
        <f t="shared" ref="J291:J299" si="84">IF(G291&gt;=$F$3,G291,"")</f>
        <v/>
      </c>
      <c r="T291" s="18"/>
      <c r="V291" s="97"/>
      <c r="W291" s="98"/>
    </row>
    <row r="292" spans="1:23" ht="18" hidden="1" customHeight="1" x14ac:dyDescent="0.25">
      <c r="A292" s="126" t="str">
        <f>Config!$B$16</f>
        <v>HOSP</v>
      </c>
      <c r="B292" s="127">
        <f>METAS!$AR$4</f>
        <v>0</v>
      </c>
      <c r="C292" s="127">
        <f>ROUNDUP((B292/12)*Config!$C$6,0)</f>
        <v>0</v>
      </c>
      <c r="D292" s="127" t="e">
        <f>ACUMULADO!#REF!</f>
        <v>#REF!</v>
      </c>
      <c r="E292" s="153">
        <f>E291</f>
        <v>41.666666666666671</v>
      </c>
      <c r="F292" s="128"/>
      <c r="G292" s="129">
        <f t="shared" si="81"/>
        <v>0</v>
      </c>
      <c r="H292" s="130">
        <f t="shared" si="82"/>
        <v>0</v>
      </c>
      <c r="I292" s="130" t="str">
        <f t="shared" si="83"/>
        <v/>
      </c>
      <c r="J292" s="131" t="str">
        <f t="shared" si="84"/>
        <v/>
      </c>
      <c r="T292" s="18"/>
      <c r="V292" s="97"/>
      <c r="W292" s="98"/>
    </row>
    <row r="293" spans="1:23" ht="18" hidden="1" customHeight="1" x14ac:dyDescent="0.25">
      <c r="A293" s="132" t="str">
        <f>Config!$B$17</f>
        <v>LLUI</v>
      </c>
      <c r="B293" s="99">
        <f>METAS!$AS$4</f>
        <v>1038</v>
      </c>
      <c r="C293" s="99">
        <f>ROUNDUP((B293/12)*Config!$C$6,0)</f>
        <v>433</v>
      </c>
      <c r="D293" s="99" t="e">
        <f>ACUMULADO!#REF!</f>
        <v>#REF!</v>
      </c>
      <c r="E293" s="153">
        <f t="shared" ref="E293:E299" si="85">E292</f>
        <v>41.666666666666671</v>
      </c>
      <c r="F293" s="138"/>
      <c r="G293" s="133">
        <f t="shared" si="81"/>
        <v>0</v>
      </c>
      <c r="H293" s="134">
        <f t="shared" si="82"/>
        <v>0</v>
      </c>
      <c r="I293" s="134" t="str">
        <f t="shared" si="83"/>
        <v/>
      </c>
      <c r="J293" s="135" t="str">
        <f t="shared" si="84"/>
        <v/>
      </c>
      <c r="T293" s="18"/>
      <c r="V293" s="97"/>
      <c r="W293" s="98"/>
    </row>
    <row r="294" spans="1:23" ht="18" hidden="1" customHeight="1" x14ac:dyDescent="0.25">
      <c r="A294" s="132" t="str">
        <f>Config!$B$18</f>
        <v>JERI</v>
      </c>
      <c r="B294" s="99">
        <f>METAS!$AT$4</f>
        <v>112</v>
      </c>
      <c r="C294" s="99">
        <f>ROUNDUP((B294/12)*Config!$C$6,0)</f>
        <v>47</v>
      </c>
      <c r="D294" s="99" t="e">
        <f>ACUMULADO!#REF!</f>
        <v>#REF!</v>
      </c>
      <c r="E294" s="153">
        <f t="shared" si="85"/>
        <v>41.666666666666671</v>
      </c>
      <c r="F294" s="138"/>
      <c r="G294" s="133">
        <f t="shared" si="81"/>
        <v>0</v>
      </c>
      <c r="H294" s="134">
        <f t="shared" si="82"/>
        <v>0</v>
      </c>
      <c r="I294" s="134" t="str">
        <f t="shared" si="83"/>
        <v/>
      </c>
      <c r="J294" s="135" t="str">
        <f t="shared" si="84"/>
        <v/>
      </c>
      <c r="T294" s="18"/>
      <c r="V294" s="97"/>
      <c r="W294" s="98"/>
    </row>
    <row r="295" spans="1:23" ht="18" hidden="1" customHeight="1" x14ac:dyDescent="0.25">
      <c r="A295" s="132" t="str">
        <f>Config!$B$19</f>
        <v>YANT</v>
      </c>
      <c r="B295" s="99">
        <f>METAS!$AU$4</f>
        <v>143</v>
      </c>
      <c r="C295" s="99">
        <f>ROUNDUP((B295/12)*Config!$C$6,0)</f>
        <v>60</v>
      </c>
      <c r="D295" s="99" t="e">
        <f>ACUMULADO!#REF!</f>
        <v>#REF!</v>
      </c>
      <c r="E295" s="153">
        <f t="shared" si="85"/>
        <v>41.666666666666671</v>
      </c>
      <c r="F295" s="138"/>
      <c r="G295" s="133">
        <f t="shared" si="81"/>
        <v>0</v>
      </c>
      <c r="H295" s="134">
        <f t="shared" si="82"/>
        <v>0</v>
      </c>
      <c r="I295" s="134" t="str">
        <f t="shared" si="83"/>
        <v/>
      </c>
      <c r="J295" s="135" t="str">
        <f t="shared" si="84"/>
        <v/>
      </c>
      <c r="T295" s="18"/>
      <c r="V295" s="97"/>
      <c r="W295" s="98"/>
    </row>
    <row r="296" spans="1:23" ht="18" hidden="1" customHeight="1" x14ac:dyDescent="0.25">
      <c r="A296" s="132" t="str">
        <f>Config!$B$20</f>
        <v>SORI</v>
      </c>
      <c r="B296" s="99">
        <f>METAS!$AV$4</f>
        <v>601</v>
      </c>
      <c r="C296" s="99">
        <f>ROUNDUP((B296/12)*Config!$C$6,0)</f>
        <v>251</v>
      </c>
      <c r="D296" s="99" t="e">
        <f>ACUMULADO!#REF!</f>
        <v>#REF!</v>
      </c>
      <c r="E296" s="153">
        <f t="shared" si="85"/>
        <v>41.666666666666671</v>
      </c>
      <c r="F296" s="138"/>
      <c r="G296" s="133">
        <f t="shared" si="81"/>
        <v>0</v>
      </c>
      <c r="H296" s="134">
        <f t="shared" si="82"/>
        <v>0</v>
      </c>
      <c r="I296" s="134" t="str">
        <f t="shared" si="83"/>
        <v/>
      </c>
      <c r="J296" s="135" t="str">
        <f t="shared" si="84"/>
        <v/>
      </c>
      <c r="T296" s="18"/>
      <c r="V296" s="105"/>
      <c r="W296" s="98"/>
    </row>
    <row r="297" spans="1:23" ht="18" hidden="1" customHeight="1" x14ac:dyDescent="0.25">
      <c r="A297" s="132" t="str">
        <f>Config!$B$21</f>
        <v>JEPE</v>
      </c>
      <c r="B297" s="99">
        <f>METAS!$AW$4</f>
        <v>238</v>
      </c>
      <c r="C297" s="99">
        <f>ROUNDUP((B297/12)*Config!$C$6,0)</f>
        <v>100</v>
      </c>
      <c r="D297" s="99" t="e">
        <f>ACUMULADO!#REF!</f>
        <v>#REF!</v>
      </c>
      <c r="E297" s="153">
        <f t="shared" si="85"/>
        <v>41.666666666666671</v>
      </c>
      <c r="F297" s="138"/>
      <c r="G297" s="133">
        <f>IFERROR(ROUND(D297*100/B297,1),0)</f>
        <v>0</v>
      </c>
      <c r="H297" s="134">
        <f t="shared" si="82"/>
        <v>0</v>
      </c>
      <c r="I297" s="134" t="str">
        <f t="shared" si="83"/>
        <v/>
      </c>
      <c r="J297" s="135" t="str">
        <f t="shared" si="84"/>
        <v/>
      </c>
      <c r="T297" s="18"/>
      <c r="V297" s="105"/>
      <c r="W297" s="98"/>
    </row>
    <row r="298" spans="1:23" ht="18" hidden="1" customHeight="1" x14ac:dyDescent="0.25">
      <c r="A298" s="132" t="str">
        <f>Config!$B$22</f>
        <v>ROQU</v>
      </c>
      <c r="B298" s="99">
        <f>METAS!$AX$4</f>
        <v>225</v>
      </c>
      <c r="C298" s="99">
        <f>ROUNDUP((B298/12)*Config!$C$6,0)</f>
        <v>94</v>
      </c>
      <c r="D298" s="99" t="e">
        <f>ACUMULADO!#REF!</f>
        <v>#REF!</v>
      </c>
      <c r="E298" s="153">
        <f t="shared" si="85"/>
        <v>41.666666666666671</v>
      </c>
      <c r="F298" s="138"/>
      <c r="G298" s="133">
        <f>IFERROR(ROUND(D298*100/B298,1),0)</f>
        <v>0</v>
      </c>
      <c r="H298" s="134">
        <f t="shared" si="82"/>
        <v>0</v>
      </c>
      <c r="I298" s="134" t="str">
        <f t="shared" si="83"/>
        <v/>
      </c>
      <c r="J298" s="135" t="str">
        <f t="shared" si="84"/>
        <v/>
      </c>
      <c r="T298" s="18"/>
      <c r="V298" s="105"/>
      <c r="W298" s="98"/>
    </row>
    <row r="299" spans="1:23" ht="18" hidden="1" customHeight="1" x14ac:dyDescent="0.25">
      <c r="A299" s="132" t="str">
        <f>Config!$B$23</f>
        <v>CALZ</v>
      </c>
      <c r="B299" s="99">
        <f>METAS!$AY$4</f>
        <v>112</v>
      </c>
      <c r="C299" s="99">
        <f>ROUNDUP((B299/12)*Config!$C$6,0)</f>
        <v>47</v>
      </c>
      <c r="D299" s="99" t="e">
        <f>ACUMULADO!#REF!</f>
        <v>#REF!</v>
      </c>
      <c r="E299" s="153">
        <f t="shared" si="85"/>
        <v>41.666666666666671</v>
      </c>
      <c r="F299" s="138"/>
      <c r="G299" s="133">
        <f t="shared" si="81"/>
        <v>0</v>
      </c>
      <c r="H299" s="134">
        <f t="shared" si="82"/>
        <v>0</v>
      </c>
      <c r="I299" s="134" t="str">
        <f t="shared" si="83"/>
        <v/>
      </c>
      <c r="J299" s="135" t="str">
        <f t="shared" si="84"/>
        <v/>
      </c>
      <c r="T299" s="18"/>
      <c r="V299" s="105"/>
      <c r="W299" s="98"/>
    </row>
    <row r="300" spans="1:23" ht="18" hidden="1" customHeight="1" x14ac:dyDescent="0.25">
      <c r="A300" s="132" t="str">
        <f>Config!$B$24</f>
        <v>PUEB</v>
      </c>
      <c r="B300" s="99"/>
      <c r="C300" s="99"/>
      <c r="D300" s="99"/>
      <c r="E300" s="153"/>
      <c r="F300" s="138"/>
      <c r="G300" s="133"/>
      <c r="H300" s="134"/>
      <c r="I300" s="134"/>
      <c r="J300" s="135"/>
      <c r="T300" s="18"/>
      <c r="V300" s="105"/>
      <c r="W300" s="98"/>
    </row>
    <row r="301" spans="1:23" ht="18" hidden="1" customHeight="1" x14ac:dyDescent="0.25">
      <c r="D301" s="101"/>
      <c r="I301" s="48"/>
      <c r="J301" s="48"/>
      <c r="T301" s="18"/>
      <c r="W301" s="98"/>
    </row>
    <row r="302" spans="1:23" ht="18" hidden="1" customHeight="1" x14ac:dyDescent="0.25">
      <c r="I302" s="48"/>
      <c r="J302" s="48"/>
      <c r="T302" s="18"/>
      <c r="W302" s="98"/>
    </row>
    <row r="303" spans="1:23" ht="18" hidden="1" customHeight="1" x14ac:dyDescent="0.25">
      <c r="A303" s="139"/>
      <c r="B303" s="103"/>
      <c r="D303" s="103"/>
      <c r="E303" s="103"/>
      <c r="I303" s="103"/>
      <c r="J303" s="103"/>
      <c r="T303" s="18"/>
      <c r="W303" s="98"/>
    </row>
    <row r="304" spans="1:23" ht="18" hidden="1" customHeight="1" x14ac:dyDescent="0.25">
      <c r="A304" s="139"/>
      <c r="B304" s="103"/>
      <c r="D304" s="103"/>
      <c r="E304" s="103"/>
      <c r="I304" s="103"/>
      <c r="J304" s="103"/>
      <c r="T304" s="18"/>
      <c r="W304" s="98"/>
    </row>
    <row r="305" spans="1:23" ht="18" hidden="1" customHeight="1" x14ac:dyDescent="0.25">
      <c r="A305" s="139"/>
      <c r="B305" s="103"/>
      <c r="D305" s="103"/>
      <c r="E305" s="103"/>
      <c r="I305" s="103"/>
      <c r="J305" s="103"/>
      <c r="T305" s="18"/>
      <c r="W305" s="98"/>
    </row>
    <row r="306" spans="1:23" ht="18" hidden="1" customHeight="1" x14ac:dyDescent="0.25">
      <c r="A306" s="139"/>
      <c r="B306" s="103"/>
      <c r="D306" s="103"/>
      <c r="E306" s="103"/>
      <c r="I306" s="103"/>
      <c r="J306" s="103"/>
      <c r="T306" s="18"/>
      <c r="W306" s="98"/>
    </row>
    <row r="307" spans="1:23" ht="18" hidden="1" customHeight="1" x14ac:dyDescent="0.25">
      <c r="A307" s="139"/>
      <c r="B307" s="103"/>
      <c r="D307" s="103"/>
      <c r="E307" s="103"/>
      <c r="I307" s="103"/>
      <c r="J307" s="103"/>
      <c r="T307" s="18"/>
      <c r="W307" s="98"/>
    </row>
    <row r="308" spans="1:23" ht="18" hidden="1" customHeight="1" x14ac:dyDescent="0.25">
      <c r="A308" s="139"/>
      <c r="B308" s="103"/>
      <c r="D308" s="103"/>
      <c r="E308" s="103"/>
      <c r="I308" s="103"/>
      <c r="J308" s="103"/>
      <c r="T308" s="18"/>
      <c r="W308" s="98"/>
    </row>
    <row r="309" spans="1:23" ht="18" hidden="1" customHeight="1" x14ac:dyDescent="0.25">
      <c r="I309" s="103"/>
      <c r="J309" s="103"/>
      <c r="T309" s="18"/>
      <c r="W309" s="98"/>
    </row>
    <row r="310" spans="1:23" ht="18" hidden="1" customHeight="1" x14ac:dyDescent="0.25">
      <c r="A310" s="104" t="s">
        <v>186</v>
      </c>
      <c r="I310" s="103"/>
      <c r="J310" s="103"/>
      <c r="T310" s="18"/>
      <c r="V310" s="97" t="str">
        <f>A310</f>
        <v>16. NIÑOS DE  1 AÑO CONTROLADOS CRED</v>
      </c>
      <c r="W310" s="98"/>
    </row>
    <row r="311" spans="1:23" ht="48" hidden="1" customHeight="1" x14ac:dyDescent="0.25">
      <c r="A311" s="107" t="s">
        <v>2</v>
      </c>
      <c r="B311" s="108" t="s">
        <v>164</v>
      </c>
      <c r="C311" s="109" t="s">
        <v>71</v>
      </c>
      <c r="D311" s="108" t="s">
        <v>185</v>
      </c>
      <c r="E311" s="108" t="s">
        <v>1</v>
      </c>
      <c r="F311" s="110"/>
      <c r="G311" s="111" t="s">
        <v>10</v>
      </c>
      <c r="H311" s="112" t="str">
        <f>"DEFICIENTE &lt;= "&amp;$E$3</f>
        <v>DEFICIENTE &lt;= 37,5</v>
      </c>
      <c r="I311" s="112" t="str">
        <f>"PROCESO &gt; "&amp;$E$3&amp;"  -  &lt; "&amp;$F$3</f>
        <v>PROCESO &gt; 37,5  -  &lt; 41,7</v>
      </c>
      <c r="J311" s="112" t="str">
        <f>"OPTIMO &gt;= "&amp;$F$3</f>
        <v>OPTIMO &gt;= 41,7</v>
      </c>
      <c r="T311" s="18"/>
      <c r="V311" s="137" t="str">
        <f>$V$1&amp;"  "&amp;V310&amp;"  "&amp;$V$3&amp;"  "&amp;$V$2</f>
        <v>RED. MOYOBAMBA:  16. NIÑOS DE  1 AÑO CONTROLADOS CRED  - POR MICROREDES :   ENERO - MAYO 2022</v>
      </c>
      <c r="W311" s="98"/>
    </row>
    <row r="312" spans="1:23" ht="18" hidden="1" customHeight="1" thickBot="1" x14ac:dyDescent="0.3">
      <c r="A312" s="118" t="str">
        <f>Config!$B$15</f>
        <v>RED</v>
      </c>
      <c r="B312" s="119">
        <f>SUM(B313:B321)</f>
        <v>0</v>
      </c>
      <c r="C312" s="119">
        <f>SUM(C313:C321)</f>
        <v>0</v>
      </c>
      <c r="D312" s="119" t="e">
        <f>SUM(D313:D321)</f>
        <v>#REF!</v>
      </c>
      <c r="E312" s="119">
        <f>Config!$C$9</f>
        <v>41.666666666666671</v>
      </c>
      <c r="F312" s="120"/>
      <c r="G312" s="119">
        <f t="shared" ref="G312:G320" si="86">IFERROR(ROUND(D312*100/B312,1),0)</f>
        <v>0</v>
      </c>
      <c r="H312" s="121">
        <f t="shared" ref="H312:H320" si="87">IF(G312&lt;=$E$3,G312,"")</f>
        <v>0</v>
      </c>
      <c r="I312" s="121" t="str">
        <f t="shared" ref="I312:I320" si="88">IF(G312&gt;$E$3,IF(G312&lt;$F$3,G312,""),"")</f>
        <v/>
      </c>
      <c r="J312" s="119" t="str">
        <f t="shared" ref="J312:J320" si="89">IF(G312&gt;=$F$3,G312,"")</f>
        <v/>
      </c>
      <c r="T312" s="18"/>
      <c r="V312" s="97"/>
      <c r="W312" s="98"/>
    </row>
    <row r="313" spans="1:23" ht="18" hidden="1" customHeight="1" x14ac:dyDescent="0.25">
      <c r="A313" s="126" t="str">
        <f>Config!$B$16</f>
        <v>HOSP</v>
      </c>
      <c r="B313" s="127">
        <f>METAS!$AR$5</f>
        <v>0</v>
      </c>
      <c r="C313" s="127">
        <f>ROUNDUP((B313/12)*Config!$C$6,0)</f>
        <v>0</v>
      </c>
      <c r="D313" s="127" t="e">
        <f>ACUMULADO!#REF!</f>
        <v>#REF!</v>
      </c>
      <c r="E313" s="153">
        <f>E312</f>
        <v>41.666666666666671</v>
      </c>
      <c r="F313" s="128"/>
      <c r="G313" s="129">
        <f t="shared" si="86"/>
        <v>0</v>
      </c>
      <c r="H313" s="130">
        <f t="shared" si="87"/>
        <v>0</v>
      </c>
      <c r="I313" s="130" t="str">
        <f t="shared" si="88"/>
        <v/>
      </c>
      <c r="J313" s="131" t="str">
        <f t="shared" si="89"/>
        <v/>
      </c>
      <c r="T313" s="18"/>
      <c r="V313" s="97"/>
      <c r="W313" s="98"/>
    </row>
    <row r="314" spans="1:23" ht="18" hidden="1" customHeight="1" x14ac:dyDescent="0.25">
      <c r="A314" s="132" t="str">
        <f>Config!$B$17</f>
        <v>LLUI</v>
      </c>
      <c r="B314" s="99">
        <f>METAS!$AS$5</f>
        <v>0</v>
      </c>
      <c r="C314" s="99">
        <f>ROUNDUP((B314/12)*Config!$C$6,0)</f>
        <v>0</v>
      </c>
      <c r="D314" s="99" t="e">
        <f>ACUMULADO!#REF!</f>
        <v>#REF!</v>
      </c>
      <c r="E314" s="153">
        <f t="shared" ref="E314:E320" si="90">E313</f>
        <v>41.666666666666671</v>
      </c>
      <c r="F314" s="138"/>
      <c r="G314" s="133">
        <f t="shared" si="86"/>
        <v>0</v>
      </c>
      <c r="H314" s="134">
        <f t="shared" si="87"/>
        <v>0</v>
      </c>
      <c r="I314" s="134" t="str">
        <f t="shared" si="88"/>
        <v/>
      </c>
      <c r="J314" s="135" t="str">
        <f t="shared" si="89"/>
        <v/>
      </c>
      <c r="T314" s="18"/>
      <c r="V314" s="97"/>
      <c r="W314" s="98"/>
    </row>
    <row r="315" spans="1:23" ht="18" hidden="1" customHeight="1" x14ac:dyDescent="0.25">
      <c r="A315" s="132" t="str">
        <f>Config!$B$18</f>
        <v>JERI</v>
      </c>
      <c r="B315" s="99">
        <f>METAS!$AT$5</f>
        <v>0</v>
      </c>
      <c r="C315" s="99">
        <f>ROUNDUP((B315/12)*Config!$C$6,0)</f>
        <v>0</v>
      </c>
      <c r="D315" s="99" t="e">
        <f>ACUMULADO!#REF!</f>
        <v>#REF!</v>
      </c>
      <c r="E315" s="153">
        <f t="shared" si="90"/>
        <v>41.666666666666671</v>
      </c>
      <c r="F315" s="138"/>
      <c r="G315" s="133">
        <f t="shared" si="86"/>
        <v>0</v>
      </c>
      <c r="H315" s="134">
        <f t="shared" si="87"/>
        <v>0</v>
      </c>
      <c r="I315" s="134" t="str">
        <f t="shared" si="88"/>
        <v/>
      </c>
      <c r="J315" s="135" t="str">
        <f t="shared" si="89"/>
        <v/>
      </c>
      <c r="T315" s="18"/>
      <c r="V315" s="97"/>
      <c r="W315" s="98"/>
    </row>
    <row r="316" spans="1:23" ht="18" hidden="1" customHeight="1" x14ac:dyDescent="0.25">
      <c r="A316" s="132" t="str">
        <f>Config!$B$19</f>
        <v>YANT</v>
      </c>
      <c r="B316" s="99">
        <f>METAS!$AU$5</f>
        <v>0</v>
      </c>
      <c r="C316" s="99">
        <f>ROUNDUP((B316/12)*Config!$C$6,0)</f>
        <v>0</v>
      </c>
      <c r="D316" s="99" t="e">
        <f>ACUMULADO!#REF!</f>
        <v>#REF!</v>
      </c>
      <c r="E316" s="153">
        <f t="shared" si="90"/>
        <v>41.666666666666671</v>
      </c>
      <c r="F316" s="138"/>
      <c r="G316" s="133">
        <f t="shared" si="86"/>
        <v>0</v>
      </c>
      <c r="H316" s="134">
        <f t="shared" si="87"/>
        <v>0</v>
      </c>
      <c r="I316" s="134" t="str">
        <f t="shared" si="88"/>
        <v/>
      </c>
      <c r="J316" s="135" t="str">
        <f t="shared" si="89"/>
        <v/>
      </c>
      <c r="T316" s="18"/>
      <c r="V316" s="97"/>
      <c r="W316" s="98"/>
    </row>
    <row r="317" spans="1:23" ht="18" hidden="1" customHeight="1" x14ac:dyDescent="0.25">
      <c r="A317" s="132" t="str">
        <f>Config!$B$20</f>
        <v>SORI</v>
      </c>
      <c r="B317" s="99">
        <f>METAS!$AV$5</f>
        <v>0</v>
      </c>
      <c r="C317" s="99">
        <f>ROUNDUP((B317/12)*Config!$C$6,0)</f>
        <v>0</v>
      </c>
      <c r="D317" s="99" t="e">
        <f>ACUMULADO!#REF!</f>
        <v>#REF!</v>
      </c>
      <c r="E317" s="153">
        <f t="shared" si="90"/>
        <v>41.666666666666671</v>
      </c>
      <c r="F317" s="138"/>
      <c r="G317" s="133">
        <f t="shared" si="86"/>
        <v>0</v>
      </c>
      <c r="H317" s="134">
        <f t="shared" si="87"/>
        <v>0</v>
      </c>
      <c r="I317" s="134" t="str">
        <f t="shared" si="88"/>
        <v/>
      </c>
      <c r="J317" s="135" t="str">
        <f t="shared" si="89"/>
        <v/>
      </c>
      <c r="T317" s="18"/>
      <c r="V317" s="105"/>
      <c r="W317" s="98"/>
    </row>
    <row r="318" spans="1:23" ht="18" hidden="1" customHeight="1" x14ac:dyDescent="0.25">
      <c r="A318" s="132" t="str">
        <f>Config!$B$21</f>
        <v>JEPE</v>
      </c>
      <c r="B318" s="99">
        <f>METAS!$AW$5</f>
        <v>0</v>
      </c>
      <c r="C318" s="99">
        <f>ROUNDUP((B318/12)*Config!$C$6,0)</f>
        <v>0</v>
      </c>
      <c r="D318" s="99" t="e">
        <f>ACUMULADO!#REF!</f>
        <v>#REF!</v>
      </c>
      <c r="E318" s="153">
        <f t="shared" si="90"/>
        <v>41.666666666666671</v>
      </c>
      <c r="F318" s="138"/>
      <c r="G318" s="133">
        <f>IFERROR(ROUND(D318*100/B318,1),0)</f>
        <v>0</v>
      </c>
      <c r="H318" s="134">
        <f t="shared" si="87"/>
        <v>0</v>
      </c>
      <c r="I318" s="134" t="str">
        <f t="shared" si="88"/>
        <v/>
      </c>
      <c r="J318" s="135" t="str">
        <f t="shared" si="89"/>
        <v/>
      </c>
      <c r="T318" s="18"/>
      <c r="V318" s="105"/>
      <c r="W318" s="98"/>
    </row>
    <row r="319" spans="1:23" ht="18" hidden="1" customHeight="1" x14ac:dyDescent="0.25">
      <c r="A319" s="132" t="str">
        <f>Config!$B$22</f>
        <v>ROQU</v>
      </c>
      <c r="B319" s="99">
        <f>METAS!$AX$5</f>
        <v>0</v>
      </c>
      <c r="C319" s="99">
        <f>ROUNDUP((B319/12)*Config!$C$6,0)</f>
        <v>0</v>
      </c>
      <c r="D319" s="99" t="e">
        <f>ACUMULADO!#REF!</f>
        <v>#REF!</v>
      </c>
      <c r="E319" s="153">
        <f t="shared" si="90"/>
        <v>41.666666666666671</v>
      </c>
      <c r="F319" s="138"/>
      <c r="G319" s="133">
        <f>IFERROR(ROUND(D319*100/B319,1),0)</f>
        <v>0</v>
      </c>
      <c r="H319" s="134">
        <f t="shared" si="87"/>
        <v>0</v>
      </c>
      <c r="I319" s="134" t="str">
        <f t="shared" si="88"/>
        <v/>
      </c>
      <c r="J319" s="135" t="str">
        <f t="shared" si="89"/>
        <v/>
      </c>
      <c r="T319" s="18"/>
      <c r="V319" s="105"/>
      <c r="W319" s="98"/>
    </row>
    <row r="320" spans="1:23" ht="18" hidden="1" customHeight="1" x14ac:dyDescent="0.25">
      <c r="A320" s="132" t="str">
        <f>Config!$B$23</f>
        <v>CALZ</v>
      </c>
      <c r="B320" s="99">
        <f>METAS!$AY$5</f>
        <v>0</v>
      </c>
      <c r="C320" s="99">
        <f>ROUNDUP((B320/12)*Config!$C$6,0)</f>
        <v>0</v>
      </c>
      <c r="D320" s="99" t="e">
        <f>ACUMULADO!#REF!</f>
        <v>#REF!</v>
      </c>
      <c r="E320" s="153">
        <f t="shared" si="90"/>
        <v>41.666666666666671</v>
      </c>
      <c r="F320" s="138"/>
      <c r="G320" s="133">
        <f t="shared" si="86"/>
        <v>0</v>
      </c>
      <c r="H320" s="134">
        <f t="shared" si="87"/>
        <v>0</v>
      </c>
      <c r="I320" s="134" t="str">
        <f t="shared" si="88"/>
        <v/>
      </c>
      <c r="J320" s="135" t="str">
        <f t="shared" si="89"/>
        <v/>
      </c>
      <c r="T320" s="18"/>
      <c r="V320" s="105"/>
      <c r="W320" s="98"/>
    </row>
    <row r="321" spans="1:23" ht="18" hidden="1" customHeight="1" x14ac:dyDescent="0.25">
      <c r="A321" s="132" t="str">
        <f>Config!$B$24</f>
        <v>PUEB</v>
      </c>
      <c r="B321" s="99"/>
      <c r="C321" s="99"/>
      <c r="D321" s="99"/>
      <c r="E321" s="153"/>
      <c r="F321" s="138"/>
      <c r="G321" s="133"/>
      <c r="H321" s="134"/>
      <c r="I321" s="134"/>
      <c r="J321" s="135"/>
      <c r="T321" s="18"/>
      <c r="W321" s="98"/>
    </row>
    <row r="322" spans="1:23" ht="18" hidden="1" customHeight="1" x14ac:dyDescent="0.25">
      <c r="D322" s="101"/>
      <c r="I322" s="48"/>
      <c r="J322" s="48"/>
      <c r="T322" s="18"/>
      <c r="W322" s="98"/>
    </row>
    <row r="323" spans="1:23" ht="18" hidden="1" customHeight="1" x14ac:dyDescent="0.25">
      <c r="A323" s="139"/>
      <c r="B323" s="103"/>
      <c r="D323" s="103"/>
      <c r="E323" s="103"/>
      <c r="I323" s="103"/>
      <c r="J323" s="103"/>
      <c r="T323" s="18"/>
      <c r="W323" s="98"/>
    </row>
    <row r="324" spans="1:23" ht="18" hidden="1" customHeight="1" x14ac:dyDescent="0.25">
      <c r="A324" s="139"/>
      <c r="B324" s="103"/>
      <c r="D324" s="103"/>
      <c r="E324" s="103"/>
      <c r="I324" s="103"/>
      <c r="J324" s="103"/>
      <c r="T324" s="18"/>
      <c r="W324" s="98"/>
    </row>
    <row r="325" spans="1:23" ht="18" hidden="1" customHeight="1" x14ac:dyDescent="0.25">
      <c r="A325" s="139"/>
      <c r="B325" s="103"/>
      <c r="D325" s="103"/>
      <c r="E325" s="103"/>
      <c r="I325" s="103"/>
      <c r="J325" s="103"/>
      <c r="T325" s="18"/>
      <c r="W325" s="98"/>
    </row>
    <row r="326" spans="1:23" ht="18" hidden="1" customHeight="1" x14ac:dyDescent="0.25">
      <c r="C326" s="152"/>
      <c r="I326" s="103"/>
      <c r="J326" s="103"/>
      <c r="T326" s="18"/>
      <c r="W326" s="98"/>
    </row>
    <row r="327" spans="1:23" ht="18" hidden="1" customHeight="1" x14ac:dyDescent="0.25">
      <c r="C327" s="152"/>
      <c r="I327" s="103"/>
      <c r="J327" s="103"/>
      <c r="T327" s="18"/>
      <c r="W327" s="98"/>
    </row>
    <row r="328" spans="1:23" ht="18" hidden="1" customHeight="1" x14ac:dyDescent="0.25">
      <c r="C328" s="152"/>
      <c r="I328" s="103"/>
      <c r="J328" s="103"/>
      <c r="T328" s="18"/>
      <c r="W328" s="98"/>
    </row>
    <row r="329" spans="1:23" ht="18" hidden="1" customHeight="1" x14ac:dyDescent="0.25">
      <c r="C329" s="152"/>
      <c r="I329" s="103"/>
      <c r="J329" s="103"/>
      <c r="T329" s="18"/>
      <c r="W329" s="98"/>
    </row>
    <row r="330" spans="1:23" ht="18" hidden="1" customHeight="1" x14ac:dyDescent="0.25">
      <c r="A330" s="104" t="s">
        <v>187</v>
      </c>
      <c r="B330" s="154"/>
      <c r="I330" s="103"/>
      <c r="J330" s="103"/>
      <c r="T330" s="18"/>
      <c r="V330" s="97" t="str">
        <f>A330</f>
        <v>17. NIÑOS DE  2 AÑO CONTROLADOS CRED</v>
      </c>
      <c r="W330" s="98"/>
    </row>
    <row r="331" spans="1:23" ht="48" hidden="1" customHeight="1" x14ac:dyDescent="0.25">
      <c r="A331" s="107" t="s">
        <v>2</v>
      </c>
      <c r="B331" s="108" t="s">
        <v>164</v>
      </c>
      <c r="C331" s="109" t="s">
        <v>71</v>
      </c>
      <c r="D331" s="108" t="s">
        <v>185</v>
      </c>
      <c r="E331" s="108" t="s">
        <v>1</v>
      </c>
      <c r="F331" s="110"/>
      <c r="G331" s="111" t="s">
        <v>10</v>
      </c>
      <c r="H331" s="112" t="str">
        <f>"DEFICIENTE &lt;= "&amp;$E$3</f>
        <v>DEFICIENTE &lt;= 37,5</v>
      </c>
      <c r="I331" s="112" t="str">
        <f>"PROCESO &gt; "&amp;$E$3&amp;"  -  &lt; "&amp;$F$3</f>
        <v>PROCESO &gt; 37,5  -  &lt; 41,7</v>
      </c>
      <c r="J331" s="112" t="str">
        <f>"OPTIMO &gt;= "&amp;$F$3</f>
        <v>OPTIMO &gt;= 41,7</v>
      </c>
      <c r="T331" s="18"/>
      <c r="V331" s="137" t="str">
        <f>$V$1&amp;"  "&amp;V330&amp;"  "&amp;$V$3&amp;"  "&amp;$V$2</f>
        <v>RED. MOYOBAMBA:  17. NIÑOS DE  2 AÑO CONTROLADOS CRED  - POR MICROREDES :   ENERO - MAYO 2022</v>
      </c>
      <c r="W331" s="98"/>
    </row>
    <row r="332" spans="1:23" ht="18" hidden="1" customHeight="1" thickBot="1" x14ac:dyDescent="0.3">
      <c r="A332" s="118" t="str">
        <f>Config!$B$15</f>
        <v>RED</v>
      </c>
      <c r="B332" s="119">
        <f>SUM(B333:B341)</f>
        <v>246.9</v>
      </c>
      <c r="C332" s="119">
        <f>SUM(C333:C341)</f>
        <v>106</v>
      </c>
      <c r="D332" s="119" t="e">
        <f>SUM(D333:D341)</f>
        <v>#REF!</v>
      </c>
      <c r="E332" s="119">
        <f>Config!$C$9</f>
        <v>41.666666666666671</v>
      </c>
      <c r="F332" s="120"/>
      <c r="G332" s="119">
        <f t="shared" ref="G332:G340" si="91">IFERROR(ROUND(D332*100/B332,1),0)</f>
        <v>0</v>
      </c>
      <c r="H332" s="121">
        <f t="shared" ref="H332:H340" si="92">IF(G332&lt;=$E$3,G332,"")</f>
        <v>0</v>
      </c>
      <c r="I332" s="121" t="str">
        <f t="shared" ref="I332:I340" si="93">IF(G332&gt;$E$3,IF(G332&lt;$F$3,G332,""),"")</f>
        <v/>
      </c>
      <c r="J332" s="119" t="str">
        <f t="shared" ref="J332:J340" si="94">IF(G332&gt;=$F$3,G332,"")</f>
        <v/>
      </c>
      <c r="T332" s="18"/>
      <c r="V332" s="97"/>
      <c r="W332" s="98"/>
    </row>
    <row r="333" spans="1:23" ht="18" hidden="1" customHeight="1" x14ac:dyDescent="0.25">
      <c r="A333" s="126" t="str">
        <f>Config!$B$16</f>
        <v>HOSP</v>
      </c>
      <c r="B333" s="127">
        <f>METAS!$AR$6</f>
        <v>0</v>
      </c>
      <c r="C333" s="127">
        <f>ROUNDUP((B333/12)*Config!$C$6,0)</f>
        <v>0</v>
      </c>
      <c r="D333" s="127" t="e">
        <f>ACUMULADO!#REF!</f>
        <v>#REF!</v>
      </c>
      <c r="E333" s="153">
        <f>E332</f>
        <v>41.666666666666671</v>
      </c>
      <c r="F333" s="128"/>
      <c r="G333" s="129">
        <f t="shared" si="91"/>
        <v>0</v>
      </c>
      <c r="H333" s="130">
        <f t="shared" si="92"/>
        <v>0</v>
      </c>
      <c r="I333" s="130" t="str">
        <f t="shared" si="93"/>
        <v/>
      </c>
      <c r="J333" s="131" t="str">
        <f t="shared" si="94"/>
        <v/>
      </c>
      <c r="T333" s="18"/>
      <c r="V333" s="97"/>
      <c r="W333" s="98"/>
    </row>
    <row r="334" spans="1:23" ht="18" hidden="1" customHeight="1" x14ac:dyDescent="0.25">
      <c r="A334" s="132" t="str">
        <f>Config!$B$17</f>
        <v>LLUI</v>
      </c>
      <c r="B334" s="99">
        <f>METAS!$AS$6</f>
        <v>103.8</v>
      </c>
      <c r="C334" s="99">
        <f>ROUNDUP((B334/12)*Config!$C$6,0)</f>
        <v>44</v>
      </c>
      <c r="D334" s="99" t="e">
        <f>ACUMULADO!#REF!</f>
        <v>#REF!</v>
      </c>
      <c r="E334" s="153">
        <f t="shared" ref="E334:E340" si="95">E333</f>
        <v>41.666666666666671</v>
      </c>
      <c r="F334" s="138"/>
      <c r="G334" s="133">
        <f t="shared" si="91"/>
        <v>0</v>
      </c>
      <c r="H334" s="134">
        <f t="shared" si="92"/>
        <v>0</v>
      </c>
      <c r="I334" s="134" t="str">
        <f t="shared" si="93"/>
        <v/>
      </c>
      <c r="J334" s="135" t="str">
        <f t="shared" si="94"/>
        <v/>
      </c>
      <c r="T334" s="18"/>
      <c r="V334" s="97"/>
      <c r="W334" s="98"/>
    </row>
    <row r="335" spans="1:23" ht="18" hidden="1" customHeight="1" x14ac:dyDescent="0.25">
      <c r="A335" s="132" t="str">
        <f>Config!$B$18</f>
        <v>JERI</v>
      </c>
      <c r="B335" s="99">
        <f>METAS!$AT$6</f>
        <v>11.2</v>
      </c>
      <c r="C335" s="99">
        <f>ROUNDUP((B335/12)*Config!$C$6,0)</f>
        <v>5</v>
      </c>
      <c r="D335" s="99" t="e">
        <f>ACUMULADO!#REF!</f>
        <v>#REF!</v>
      </c>
      <c r="E335" s="153">
        <f t="shared" si="95"/>
        <v>41.666666666666671</v>
      </c>
      <c r="F335" s="138"/>
      <c r="G335" s="133">
        <f t="shared" si="91"/>
        <v>0</v>
      </c>
      <c r="H335" s="134">
        <f t="shared" si="92"/>
        <v>0</v>
      </c>
      <c r="I335" s="134" t="str">
        <f t="shared" si="93"/>
        <v/>
      </c>
      <c r="J335" s="135" t="str">
        <f t="shared" si="94"/>
        <v/>
      </c>
      <c r="T335" s="18"/>
      <c r="V335" s="97"/>
      <c r="W335" s="98"/>
    </row>
    <row r="336" spans="1:23" ht="18" hidden="1" customHeight="1" x14ac:dyDescent="0.25">
      <c r="A336" s="132" t="str">
        <f>Config!$B$19</f>
        <v>YANT</v>
      </c>
      <c r="B336" s="99">
        <f>METAS!$AU$6</f>
        <v>14.3</v>
      </c>
      <c r="C336" s="99">
        <f>ROUNDUP((B336/12)*Config!$C$6,0)</f>
        <v>6</v>
      </c>
      <c r="D336" s="99" t="e">
        <f>ACUMULADO!#REF!</f>
        <v>#REF!</v>
      </c>
      <c r="E336" s="153">
        <f t="shared" si="95"/>
        <v>41.666666666666671</v>
      </c>
      <c r="F336" s="138"/>
      <c r="G336" s="133">
        <f t="shared" si="91"/>
        <v>0</v>
      </c>
      <c r="H336" s="134">
        <f t="shared" si="92"/>
        <v>0</v>
      </c>
      <c r="I336" s="134" t="str">
        <f t="shared" si="93"/>
        <v/>
      </c>
      <c r="J336" s="135" t="str">
        <f t="shared" si="94"/>
        <v/>
      </c>
      <c r="T336" s="18"/>
      <c r="V336" s="97"/>
      <c r="W336" s="98"/>
    </row>
    <row r="337" spans="1:23" ht="18" hidden="1" customHeight="1" x14ac:dyDescent="0.25">
      <c r="A337" s="132" t="str">
        <f>Config!$B$20</f>
        <v>SORI</v>
      </c>
      <c r="B337" s="99">
        <f>METAS!$AV$6</f>
        <v>60.1</v>
      </c>
      <c r="C337" s="99">
        <f>ROUNDUP((B337/12)*Config!$C$6,0)</f>
        <v>26</v>
      </c>
      <c r="D337" s="99" t="e">
        <f>ACUMULADO!#REF!</f>
        <v>#REF!</v>
      </c>
      <c r="E337" s="153">
        <f t="shared" si="95"/>
        <v>41.666666666666671</v>
      </c>
      <c r="F337" s="138"/>
      <c r="G337" s="133">
        <f t="shared" si="91"/>
        <v>0</v>
      </c>
      <c r="H337" s="134">
        <f t="shared" si="92"/>
        <v>0</v>
      </c>
      <c r="I337" s="134" t="str">
        <f t="shared" si="93"/>
        <v/>
      </c>
      <c r="J337" s="135" t="str">
        <f t="shared" si="94"/>
        <v/>
      </c>
      <c r="T337" s="18"/>
      <c r="V337" s="105"/>
      <c r="W337" s="98"/>
    </row>
    <row r="338" spans="1:23" ht="18" hidden="1" customHeight="1" x14ac:dyDescent="0.25">
      <c r="A338" s="132" t="str">
        <f>Config!$B$21</f>
        <v>JEPE</v>
      </c>
      <c r="B338" s="99">
        <f>METAS!$AW$6</f>
        <v>23.8</v>
      </c>
      <c r="C338" s="99">
        <f>ROUNDUP((B338/12)*Config!$C$6,0)</f>
        <v>10</v>
      </c>
      <c r="D338" s="99" t="e">
        <f>ACUMULADO!#REF!</f>
        <v>#REF!</v>
      </c>
      <c r="E338" s="153">
        <f t="shared" si="95"/>
        <v>41.666666666666671</v>
      </c>
      <c r="F338" s="138"/>
      <c r="G338" s="133">
        <f>IFERROR(ROUND(D338*100/B338,1),0)</f>
        <v>0</v>
      </c>
      <c r="H338" s="134">
        <f t="shared" si="92"/>
        <v>0</v>
      </c>
      <c r="I338" s="134" t="str">
        <f t="shared" si="93"/>
        <v/>
      </c>
      <c r="J338" s="135" t="str">
        <f t="shared" si="94"/>
        <v/>
      </c>
      <c r="T338" s="18"/>
      <c r="V338" s="105"/>
      <c r="W338" s="98"/>
    </row>
    <row r="339" spans="1:23" ht="18" hidden="1" customHeight="1" x14ac:dyDescent="0.25">
      <c r="A339" s="132" t="str">
        <f>Config!$B$22</f>
        <v>ROQU</v>
      </c>
      <c r="B339" s="99">
        <f>METAS!$AX$6</f>
        <v>22.5</v>
      </c>
      <c r="C339" s="99">
        <f>ROUNDUP((B339/12)*Config!$C$6,0)</f>
        <v>10</v>
      </c>
      <c r="D339" s="99" t="e">
        <f>ACUMULADO!#REF!</f>
        <v>#REF!</v>
      </c>
      <c r="E339" s="153">
        <f t="shared" si="95"/>
        <v>41.666666666666671</v>
      </c>
      <c r="F339" s="138"/>
      <c r="G339" s="133">
        <f>IFERROR(ROUND(D339*100/B339,1),0)</f>
        <v>0</v>
      </c>
      <c r="H339" s="134">
        <f t="shared" si="92"/>
        <v>0</v>
      </c>
      <c r="I339" s="134" t="str">
        <f t="shared" si="93"/>
        <v/>
      </c>
      <c r="J339" s="135" t="str">
        <f t="shared" si="94"/>
        <v/>
      </c>
      <c r="T339" s="18"/>
      <c r="V339" s="105"/>
      <c r="W339" s="98"/>
    </row>
    <row r="340" spans="1:23" ht="18" hidden="1" customHeight="1" x14ac:dyDescent="0.25">
      <c r="A340" s="132" t="str">
        <f>Config!$B$23</f>
        <v>CALZ</v>
      </c>
      <c r="B340" s="99">
        <f>METAS!$AY$6</f>
        <v>11.2</v>
      </c>
      <c r="C340" s="99">
        <f>ROUNDUP((B340/12)*Config!$C$6,0)</f>
        <v>5</v>
      </c>
      <c r="D340" s="99" t="e">
        <f>ACUMULADO!#REF!</f>
        <v>#REF!</v>
      </c>
      <c r="E340" s="153">
        <f t="shared" si="95"/>
        <v>41.666666666666671</v>
      </c>
      <c r="F340" s="138"/>
      <c r="G340" s="133">
        <f t="shared" si="91"/>
        <v>0</v>
      </c>
      <c r="H340" s="134">
        <f t="shared" si="92"/>
        <v>0</v>
      </c>
      <c r="I340" s="134" t="str">
        <f t="shared" si="93"/>
        <v/>
      </c>
      <c r="J340" s="135" t="str">
        <f t="shared" si="94"/>
        <v/>
      </c>
      <c r="T340" s="18"/>
      <c r="V340" s="105"/>
      <c r="W340" s="98"/>
    </row>
    <row r="341" spans="1:23" ht="18" hidden="1" customHeight="1" x14ac:dyDescent="0.25">
      <c r="A341" s="132" t="str">
        <f>Config!$B$24</f>
        <v>PUEB</v>
      </c>
      <c r="B341" s="99"/>
      <c r="C341" s="99"/>
      <c r="D341" s="99"/>
      <c r="E341" s="99"/>
      <c r="F341" s="138"/>
      <c r="G341" s="133"/>
      <c r="H341" s="134"/>
      <c r="I341" s="134"/>
      <c r="J341" s="135"/>
      <c r="T341" s="18"/>
      <c r="W341" s="98"/>
    </row>
    <row r="342" spans="1:23" ht="18" hidden="1" customHeight="1" x14ac:dyDescent="0.25">
      <c r="D342" s="101"/>
      <c r="I342" s="48"/>
      <c r="J342" s="48"/>
      <c r="T342" s="18"/>
      <c r="W342" s="98"/>
    </row>
    <row r="343" spans="1:23" ht="18" hidden="1" customHeight="1" x14ac:dyDescent="0.25">
      <c r="I343" s="48"/>
      <c r="J343" s="48"/>
      <c r="T343" s="18"/>
      <c r="W343" s="98"/>
    </row>
    <row r="344" spans="1:23" ht="18" hidden="1" customHeight="1" x14ac:dyDescent="0.25">
      <c r="I344" s="48"/>
      <c r="J344" s="48"/>
      <c r="T344" s="18"/>
      <c r="W344" s="98"/>
    </row>
    <row r="345" spans="1:23" ht="18" hidden="1" customHeight="1" x14ac:dyDescent="0.25">
      <c r="A345" s="139"/>
      <c r="B345" s="103"/>
      <c r="D345" s="103"/>
      <c r="E345" s="103"/>
      <c r="I345" s="103"/>
      <c r="J345" s="103"/>
      <c r="T345" s="18"/>
      <c r="W345" s="98"/>
    </row>
    <row r="346" spans="1:23" ht="18" hidden="1" customHeight="1" x14ac:dyDescent="0.25">
      <c r="A346" s="139"/>
      <c r="B346" s="103"/>
      <c r="D346" s="103"/>
      <c r="E346" s="103"/>
      <c r="I346" s="103"/>
      <c r="J346" s="103"/>
      <c r="T346" s="18"/>
      <c r="W346" s="98"/>
    </row>
    <row r="347" spans="1:23" ht="18" hidden="1" customHeight="1" x14ac:dyDescent="0.25">
      <c r="A347" s="139"/>
      <c r="B347" s="103"/>
      <c r="D347" s="103"/>
      <c r="E347" s="103"/>
      <c r="I347" s="103"/>
      <c r="J347" s="103"/>
      <c r="T347" s="18"/>
      <c r="W347" s="98"/>
    </row>
    <row r="348" spans="1:23" ht="18" hidden="1" customHeight="1" x14ac:dyDescent="0.25">
      <c r="A348" s="139"/>
      <c r="B348" s="103"/>
      <c r="D348" s="103"/>
      <c r="E348" s="103"/>
      <c r="I348" s="103"/>
      <c r="J348" s="103"/>
      <c r="T348" s="18"/>
      <c r="W348" s="98"/>
    </row>
    <row r="349" spans="1:23" ht="18" hidden="1" customHeight="1" x14ac:dyDescent="0.25">
      <c r="A349" s="139"/>
      <c r="B349" s="103"/>
      <c r="D349" s="103"/>
      <c r="E349" s="103"/>
      <c r="I349" s="103"/>
      <c r="J349" s="103"/>
      <c r="T349" s="18"/>
      <c r="W349" s="98"/>
    </row>
    <row r="350" spans="1:23" ht="18" hidden="1" customHeight="1" x14ac:dyDescent="0.25">
      <c r="A350" s="139"/>
      <c r="B350" s="103"/>
      <c r="D350" s="103"/>
      <c r="E350" s="103"/>
      <c r="I350" s="103"/>
      <c r="J350" s="103"/>
      <c r="T350" s="18"/>
      <c r="W350" s="98"/>
    </row>
    <row r="351" spans="1:23" ht="18" hidden="1" customHeight="1" x14ac:dyDescent="0.25">
      <c r="I351" s="103"/>
      <c r="J351" s="103"/>
      <c r="T351" s="18"/>
      <c r="V351" s="97" t="str">
        <f>A352</f>
        <v>18. NIÑOS DE  3 AÑO CONTROLADOS CRED</v>
      </c>
      <c r="W351" s="98"/>
    </row>
    <row r="352" spans="1:23" ht="18" hidden="1" customHeight="1" x14ac:dyDescent="0.25">
      <c r="A352" s="104" t="s">
        <v>188</v>
      </c>
      <c r="I352" s="103"/>
      <c r="J352" s="103"/>
      <c r="T352" s="18"/>
      <c r="V352" s="137" t="str">
        <f>$V$1&amp;"  "&amp;V351&amp;"  "&amp;$V$3&amp;"  "&amp;$V$2</f>
        <v>RED. MOYOBAMBA:  18. NIÑOS DE  3 AÑO CONTROLADOS CRED  - POR MICROREDES :   ENERO - MAYO 2022</v>
      </c>
      <c r="W352" s="98"/>
    </row>
    <row r="353" spans="1:23" ht="48" hidden="1" customHeight="1" x14ac:dyDescent="0.25">
      <c r="A353" s="107" t="s">
        <v>2</v>
      </c>
      <c r="B353" s="108" t="s">
        <v>164</v>
      </c>
      <c r="C353" s="109" t="s">
        <v>71</v>
      </c>
      <c r="D353" s="108" t="s">
        <v>185</v>
      </c>
      <c r="E353" s="108" t="s">
        <v>1</v>
      </c>
      <c r="F353" s="110"/>
      <c r="G353" s="111" t="s">
        <v>10</v>
      </c>
      <c r="H353" s="112" t="str">
        <f>"DEFICIENTE &lt;= "&amp;$E$3</f>
        <v>DEFICIENTE &lt;= 37,5</v>
      </c>
      <c r="I353" s="112" t="str">
        <f>"PROCESO &gt; "&amp;$E$3&amp;"  -  &lt; "&amp;$F$3</f>
        <v>PROCESO &gt; 37,5  -  &lt; 41,7</v>
      </c>
      <c r="J353" s="112" t="str">
        <f>"OPTIMO &gt;= "&amp;$F$3</f>
        <v>OPTIMO &gt;= 41,7</v>
      </c>
      <c r="T353" s="18"/>
      <c r="V353" s="97"/>
      <c r="W353" s="98"/>
    </row>
    <row r="354" spans="1:23" ht="18" hidden="1" customHeight="1" thickBot="1" x14ac:dyDescent="0.3">
      <c r="A354" s="118" t="str">
        <f>Config!$B$15</f>
        <v>RED</v>
      </c>
      <c r="B354" s="119">
        <f>SUM(B355:B363)</f>
        <v>2098.65</v>
      </c>
      <c r="C354" s="119">
        <f>SUM(C355:C363)</f>
        <v>877</v>
      </c>
      <c r="D354" s="119" t="e">
        <f>SUM(D355:D363)</f>
        <v>#REF!</v>
      </c>
      <c r="E354" s="119">
        <f>Config!$C$9</f>
        <v>41.666666666666671</v>
      </c>
      <c r="F354" s="120"/>
      <c r="G354" s="119">
        <f t="shared" ref="G354:G362" si="96">IFERROR(ROUND(D354*100/B354,1),0)</f>
        <v>0</v>
      </c>
      <c r="H354" s="121">
        <f t="shared" ref="H354:H362" si="97">IF(G354&lt;=$E$3,G354,"")</f>
        <v>0</v>
      </c>
      <c r="I354" s="121" t="str">
        <f t="shared" ref="I354:I362" si="98">IF(G354&gt;$E$3,IF(G354&lt;$F$3,G354,""),"")</f>
        <v/>
      </c>
      <c r="J354" s="119" t="str">
        <f t="shared" ref="J354:J362" si="99">IF(G354&gt;=$F$3,G354,"")</f>
        <v/>
      </c>
      <c r="T354" s="18"/>
      <c r="V354" s="97"/>
      <c r="W354" s="98"/>
    </row>
    <row r="355" spans="1:23" ht="18" hidden="1" customHeight="1" x14ac:dyDescent="0.25">
      <c r="A355" s="126" t="str">
        <f>Config!$B$16</f>
        <v>HOSP</v>
      </c>
      <c r="B355" s="127">
        <f>METAS!$AR$8</f>
        <v>0</v>
      </c>
      <c r="C355" s="127">
        <f>(B355/12)*Config!$C$6</f>
        <v>0</v>
      </c>
      <c r="D355" s="127" t="e">
        <f>ACUMULADO!#REF!</f>
        <v>#REF!</v>
      </c>
      <c r="E355" s="153">
        <f>E354</f>
        <v>41.666666666666671</v>
      </c>
      <c r="F355" s="128"/>
      <c r="G355" s="129">
        <f t="shared" si="96"/>
        <v>0</v>
      </c>
      <c r="H355" s="130">
        <f t="shared" si="97"/>
        <v>0</v>
      </c>
      <c r="I355" s="130" t="str">
        <f t="shared" si="98"/>
        <v/>
      </c>
      <c r="J355" s="131" t="str">
        <f t="shared" si="99"/>
        <v/>
      </c>
      <c r="T355" s="18"/>
      <c r="V355" s="97"/>
      <c r="W355" s="98"/>
    </row>
    <row r="356" spans="1:23" ht="18" hidden="1" customHeight="1" x14ac:dyDescent="0.25">
      <c r="A356" s="132" t="str">
        <f>Config!$B$17</f>
        <v>LLUI</v>
      </c>
      <c r="B356" s="99">
        <f>METAS!$AS$8</f>
        <v>882.30000000000007</v>
      </c>
      <c r="C356" s="99">
        <f>ROUNDUP((B356/12)*Config!$C$6,0)</f>
        <v>368</v>
      </c>
      <c r="D356" s="99" t="e">
        <f>ACUMULADO!#REF!</f>
        <v>#REF!</v>
      </c>
      <c r="E356" s="153">
        <f t="shared" ref="E356:E362" si="100">E355</f>
        <v>41.666666666666671</v>
      </c>
      <c r="F356" s="138"/>
      <c r="G356" s="133">
        <f t="shared" si="96"/>
        <v>0</v>
      </c>
      <c r="H356" s="134">
        <f t="shared" si="97"/>
        <v>0</v>
      </c>
      <c r="I356" s="134" t="str">
        <f t="shared" si="98"/>
        <v/>
      </c>
      <c r="J356" s="135" t="str">
        <f t="shared" si="99"/>
        <v/>
      </c>
      <c r="T356" s="18"/>
      <c r="V356" s="97"/>
      <c r="W356" s="98"/>
    </row>
    <row r="357" spans="1:23" ht="18" hidden="1" customHeight="1" x14ac:dyDescent="0.25">
      <c r="A357" s="132" t="str">
        <f>Config!$B$18</f>
        <v>JERI</v>
      </c>
      <c r="B357" s="99">
        <f>METAS!$AT$8</f>
        <v>95.2</v>
      </c>
      <c r="C357" s="99">
        <f>ROUNDUP((B357/12)*Config!$C$6,0)</f>
        <v>40</v>
      </c>
      <c r="D357" s="99" t="e">
        <f>ACUMULADO!#REF!</f>
        <v>#REF!</v>
      </c>
      <c r="E357" s="153">
        <f t="shared" si="100"/>
        <v>41.666666666666671</v>
      </c>
      <c r="F357" s="138"/>
      <c r="G357" s="133">
        <f t="shared" si="96"/>
        <v>0</v>
      </c>
      <c r="H357" s="134">
        <f t="shared" si="97"/>
        <v>0</v>
      </c>
      <c r="I357" s="134" t="str">
        <f t="shared" si="98"/>
        <v/>
      </c>
      <c r="J357" s="135" t="str">
        <f t="shared" si="99"/>
        <v/>
      </c>
      <c r="T357" s="18"/>
      <c r="V357" s="97"/>
      <c r="W357" s="98"/>
    </row>
    <row r="358" spans="1:23" ht="18" hidden="1" customHeight="1" x14ac:dyDescent="0.25">
      <c r="A358" s="132" t="str">
        <f>Config!$B$19</f>
        <v>YANT</v>
      </c>
      <c r="B358" s="99">
        <f>METAS!$AU$8</f>
        <v>121.55</v>
      </c>
      <c r="C358" s="99">
        <f>ROUNDUP((B358/12)*Config!$C$6,0)</f>
        <v>51</v>
      </c>
      <c r="D358" s="99" t="e">
        <f>ACUMULADO!#REF!</f>
        <v>#REF!</v>
      </c>
      <c r="E358" s="153">
        <f t="shared" si="100"/>
        <v>41.666666666666671</v>
      </c>
      <c r="F358" s="138"/>
      <c r="G358" s="133">
        <f t="shared" si="96"/>
        <v>0</v>
      </c>
      <c r="H358" s="134">
        <f t="shared" si="97"/>
        <v>0</v>
      </c>
      <c r="I358" s="134" t="str">
        <f t="shared" si="98"/>
        <v/>
      </c>
      <c r="J358" s="135" t="str">
        <f t="shared" si="99"/>
        <v/>
      </c>
      <c r="T358" s="18"/>
      <c r="W358" s="98"/>
    </row>
    <row r="359" spans="1:23" ht="18" hidden="1" customHeight="1" x14ac:dyDescent="0.25">
      <c r="A359" s="132" t="str">
        <f>Config!$B$20</f>
        <v>SORI</v>
      </c>
      <c r="B359" s="99">
        <f>METAS!$AV$8</f>
        <v>510.85</v>
      </c>
      <c r="C359" s="99">
        <f>ROUNDUP((B359/12)*Config!$C$6,0)</f>
        <v>213</v>
      </c>
      <c r="D359" s="99" t="e">
        <f>ACUMULADO!#REF!</f>
        <v>#REF!</v>
      </c>
      <c r="E359" s="153">
        <f t="shared" si="100"/>
        <v>41.666666666666671</v>
      </c>
      <c r="F359" s="138"/>
      <c r="G359" s="133">
        <f t="shared" si="96"/>
        <v>0</v>
      </c>
      <c r="H359" s="134">
        <f t="shared" si="97"/>
        <v>0</v>
      </c>
      <c r="I359" s="134" t="str">
        <f t="shared" si="98"/>
        <v/>
      </c>
      <c r="J359" s="135" t="str">
        <f t="shared" si="99"/>
        <v/>
      </c>
      <c r="T359" s="18"/>
      <c r="W359" s="98"/>
    </row>
    <row r="360" spans="1:23" ht="18" hidden="1" customHeight="1" x14ac:dyDescent="0.25">
      <c r="A360" s="132" t="str">
        <f>Config!$B$21</f>
        <v>JEPE</v>
      </c>
      <c r="B360" s="99">
        <f>METAS!$AW$8</f>
        <v>202.3</v>
      </c>
      <c r="C360" s="99">
        <f>ROUNDUP((B360/12)*Config!$C$6,0)</f>
        <v>85</v>
      </c>
      <c r="D360" s="99" t="e">
        <f>ACUMULADO!#REF!</f>
        <v>#REF!</v>
      </c>
      <c r="E360" s="153">
        <f t="shared" si="100"/>
        <v>41.666666666666671</v>
      </c>
      <c r="F360" s="138"/>
      <c r="G360" s="133">
        <f>IFERROR(ROUND(D360*100/B360,1),0)</f>
        <v>0</v>
      </c>
      <c r="H360" s="134">
        <f t="shared" si="97"/>
        <v>0</v>
      </c>
      <c r="I360" s="134" t="str">
        <f t="shared" si="98"/>
        <v/>
      </c>
      <c r="J360" s="135" t="str">
        <f t="shared" si="99"/>
        <v/>
      </c>
      <c r="T360" s="18"/>
      <c r="W360" s="98"/>
    </row>
    <row r="361" spans="1:23" ht="18" hidden="1" customHeight="1" x14ac:dyDescent="0.25">
      <c r="A361" s="132" t="str">
        <f>Config!$B$22</f>
        <v>ROQU</v>
      </c>
      <c r="B361" s="99">
        <f>METAS!$AX$8</f>
        <v>191.25000000000003</v>
      </c>
      <c r="C361" s="99">
        <f>ROUNDUP((B361/12)*Config!$C$6,0)</f>
        <v>80</v>
      </c>
      <c r="D361" s="99" t="e">
        <f>ACUMULADO!#REF!</f>
        <v>#REF!</v>
      </c>
      <c r="E361" s="153">
        <f t="shared" si="100"/>
        <v>41.666666666666671</v>
      </c>
      <c r="F361" s="138"/>
      <c r="G361" s="133">
        <f>IFERROR(ROUND(D361*100/B361,1),0)</f>
        <v>0</v>
      </c>
      <c r="H361" s="134">
        <f t="shared" si="97"/>
        <v>0</v>
      </c>
      <c r="I361" s="134" t="str">
        <f t="shared" si="98"/>
        <v/>
      </c>
      <c r="J361" s="135" t="str">
        <f t="shared" si="99"/>
        <v/>
      </c>
      <c r="T361" s="18"/>
      <c r="W361" s="98"/>
    </row>
    <row r="362" spans="1:23" ht="18" hidden="1" customHeight="1" x14ac:dyDescent="0.25">
      <c r="A362" s="132" t="str">
        <f>Config!$B$23</f>
        <v>CALZ</v>
      </c>
      <c r="B362" s="99">
        <f>METAS!$AY$8</f>
        <v>95.199999999999989</v>
      </c>
      <c r="C362" s="99">
        <f>ROUNDUP((B362/12)*Config!$C$6,0)</f>
        <v>40</v>
      </c>
      <c r="D362" s="99" t="e">
        <f>ACUMULADO!#REF!</f>
        <v>#REF!</v>
      </c>
      <c r="E362" s="153">
        <f t="shared" si="100"/>
        <v>41.666666666666671</v>
      </c>
      <c r="F362" s="138"/>
      <c r="G362" s="133">
        <f t="shared" si="96"/>
        <v>0</v>
      </c>
      <c r="H362" s="134">
        <f t="shared" si="97"/>
        <v>0</v>
      </c>
      <c r="I362" s="134" t="str">
        <f t="shared" si="98"/>
        <v/>
      </c>
      <c r="J362" s="135" t="str">
        <f t="shared" si="99"/>
        <v/>
      </c>
      <c r="T362" s="18"/>
      <c r="W362" s="98"/>
    </row>
    <row r="363" spans="1:23" ht="18" hidden="1" customHeight="1" x14ac:dyDescent="0.25">
      <c r="A363" s="132" t="str">
        <f>Config!$B$24</f>
        <v>PUEB</v>
      </c>
      <c r="B363" s="99"/>
      <c r="C363" s="99">
        <f>ROUNDUP((B363/12)*Config!$C$6,0)</f>
        <v>0</v>
      </c>
      <c r="D363" s="99"/>
      <c r="E363" s="99"/>
      <c r="F363" s="138"/>
      <c r="G363" s="133"/>
      <c r="H363" s="134"/>
      <c r="I363" s="134"/>
      <c r="J363" s="135"/>
      <c r="T363" s="18"/>
      <c r="V363" s="136"/>
      <c r="W363" s="98"/>
    </row>
    <row r="364" spans="1:23" ht="18" hidden="1" customHeight="1" x14ac:dyDescent="0.25">
      <c r="D364" s="101"/>
      <c r="I364" s="48"/>
      <c r="J364" s="48"/>
      <c r="T364" s="18"/>
      <c r="W364" s="98"/>
    </row>
    <row r="365" spans="1:23" ht="18" hidden="1" customHeight="1" x14ac:dyDescent="0.25">
      <c r="A365" s="155"/>
      <c r="B365" s="102"/>
      <c r="F365" s="102"/>
      <c r="G365" s="102"/>
      <c r="H365" s="102"/>
      <c r="I365" s="102"/>
      <c r="J365" s="102"/>
      <c r="T365" s="18"/>
      <c r="W365" s="98"/>
    </row>
    <row r="366" spans="1:23" ht="18" hidden="1" customHeight="1" x14ac:dyDescent="0.25">
      <c r="A366" s="155"/>
      <c r="B366" s="102"/>
      <c r="F366" s="102"/>
      <c r="G366" s="102"/>
      <c r="H366" s="102"/>
      <c r="I366" s="102"/>
      <c r="J366" s="102"/>
      <c r="T366" s="18"/>
      <c r="W366" s="98"/>
    </row>
    <row r="367" spans="1:23" ht="18" hidden="1" customHeight="1" x14ac:dyDescent="0.25">
      <c r="A367" s="155"/>
      <c r="B367" s="102"/>
      <c r="F367" s="102"/>
      <c r="G367" s="102"/>
      <c r="H367" s="102"/>
      <c r="I367" s="102"/>
      <c r="J367" s="102"/>
      <c r="T367" s="18"/>
      <c r="W367" s="98"/>
    </row>
    <row r="368" spans="1:23" ht="18" hidden="1" customHeight="1" x14ac:dyDescent="0.25">
      <c r="A368" s="155"/>
      <c r="B368" s="102"/>
      <c r="F368" s="102"/>
      <c r="G368" s="102"/>
      <c r="H368" s="102"/>
      <c r="I368" s="102"/>
      <c r="J368" s="102"/>
      <c r="T368" s="18"/>
      <c r="W368" s="98"/>
    </row>
    <row r="369" spans="1:23" ht="18" hidden="1" customHeight="1" x14ac:dyDescent="0.25">
      <c r="A369" s="155"/>
      <c r="B369" s="102"/>
      <c r="F369" s="102"/>
      <c r="G369" s="102"/>
      <c r="H369" s="102"/>
      <c r="I369" s="102"/>
      <c r="J369" s="102"/>
      <c r="T369" s="18"/>
      <c r="W369" s="98"/>
    </row>
    <row r="370" spans="1:23" ht="18" hidden="1" customHeight="1" x14ac:dyDescent="0.25">
      <c r="A370" s="104" t="s">
        <v>189</v>
      </c>
      <c r="G370" s="156"/>
      <c r="H370" s="102"/>
      <c r="I370" s="102"/>
      <c r="J370" s="102"/>
      <c r="T370" s="18"/>
      <c r="W370" s="98"/>
    </row>
    <row r="371" spans="1:23" ht="48" hidden="1" customHeight="1" x14ac:dyDescent="0.25">
      <c r="A371" s="107" t="s">
        <v>2</v>
      </c>
      <c r="B371" s="108" t="s">
        <v>164</v>
      </c>
      <c r="C371" s="109" t="s">
        <v>71</v>
      </c>
      <c r="D371" s="108" t="s">
        <v>185</v>
      </c>
      <c r="E371" s="108" t="s">
        <v>1</v>
      </c>
      <c r="F371" s="110"/>
      <c r="G371" s="111" t="s">
        <v>10</v>
      </c>
      <c r="H371" s="112" t="str">
        <f>"DEFICIENTE &lt;= "&amp;$E$3</f>
        <v>DEFICIENTE &lt;= 37,5</v>
      </c>
      <c r="I371" s="112" t="str">
        <f>"PROCESO &gt; "&amp;$E$3&amp;"  -  &lt; "&amp;$F$3</f>
        <v>PROCESO &gt; 37,5  -  &lt; 41,7</v>
      </c>
      <c r="J371" s="112" t="str">
        <f>"OPTIMO &gt;= "&amp;$F$3</f>
        <v>OPTIMO &gt;= 41,7</v>
      </c>
      <c r="T371" s="18"/>
      <c r="V371" s="97" t="str">
        <f>A370</f>
        <v>19. NIÑOS DE  4 AÑO CONTROLADOS CRED</v>
      </c>
      <c r="W371" s="98"/>
    </row>
    <row r="372" spans="1:23" ht="18" hidden="1" customHeight="1" thickBot="1" x14ac:dyDescent="0.3">
      <c r="A372" s="118" t="str">
        <f>Config!$B$15</f>
        <v>RED</v>
      </c>
      <c r="B372" s="119">
        <f>SUM(B373:B381)</f>
        <v>1683</v>
      </c>
      <c r="C372" s="119">
        <f>SUM(C373:C381)</f>
        <v>703</v>
      </c>
      <c r="D372" s="119" t="e">
        <f>SUM(D373:D381)</f>
        <v>#REF!</v>
      </c>
      <c r="E372" s="119">
        <f>Config!$C$9</f>
        <v>41.666666666666671</v>
      </c>
      <c r="F372" s="120"/>
      <c r="G372" s="119">
        <f t="shared" ref="G372:G380" si="101">IFERROR(ROUND(D372*100/B372,1),0)</f>
        <v>0</v>
      </c>
      <c r="H372" s="121">
        <f t="shared" ref="H372:H380" si="102">IF(G372&lt;=$E$3,G372,"")</f>
        <v>0</v>
      </c>
      <c r="I372" s="121" t="str">
        <f t="shared" ref="I372:I380" si="103">IF(G372&gt;$E$3,IF(G372&lt;$F$3,G372,""),"")</f>
        <v/>
      </c>
      <c r="J372" s="119" t="str">
        <f t="shared" ref="J372:J380" si="104">IF(G372&gt;=$F$3,G372,"")</f>
        <v/>
      </c>
      <c r="T372" s="18"/>
      <c r="V372" s="137" t="str">
        <f>$V$1&amp;"  "&amp;V371&amp;"  "&amp;$V$3&amp;"  "&amp;$V$2</f>
        <v>RED. MOYOBAMBA:  19. NIÑOS DE  4 AÑO CONTROLADOS CRED  - POR MICROREDES :   ENERO - MAYO 2022</v>
      </c>
      <c r="W372" s="98"/>
    </row>
    <row r="373" spans="1:23" ht="18" hidden="1" customHeight="1" x14ac:dyDescent="0.25">
      <c r="A373" s="126" t="str">
        <f>Config!$B$16</f>
        <v>HOSP</v>
      </c>
      <c r="B373" s="127">
        <f>METAS!$AR$10</f>
        <v>0</v>
      </c>
      <c r="C373" s="127">
        <f>ROUNDUP((B373/12)*Config!$C$6,0)</f>
        <v>0</v>
      </c>
      <c r="D373" s="127" t="e">
        <f>ACUMULADO!#REF!</f>
        <v>#REF!</v>
      </c>
      <c r="E373" s="153">
        <f>E372</f>
        <v>41.666666666666671</v>
      </c>
      <c r="F373" s="128"/>
      <c r="G373" s="129">
        <f t="shared" si="101"/>
        <v>0</v>
      </c>
      <c r="H373" s="130">
        <f t="shared" si="102"/>
        <v>0</v>
      </c>
      <c r="I373" s="130" t="str">
        <f t="shared" si="103"/>
        <v/>
      </c>
      <c r="J373" s="131" t="str">
        <f t="shared" si="104"/>
        <v/>
      </c>
      <c r="T373" s="18"/>
      <c r="V373" s="97"/>
      <c r="W373" s="98"/>
    </row>
    <row r="374" spans="1:23" ht="18" hidden="1" customHeight="1" x14ac:dyDescent="0.25">
      <c r="A374" s="132" t="str">
        <f>Config!$B$17</f>
        <v>LLUI</v>
      </c>
      <c r="B374" s="99">
        <f>METAS!$AS$10</f>
        <v>800</v>
      </c>
      <c r="C374" s="99">
        <f>ROUNDUP((B374/12)*Config!$C$6,0)</f>
        <v>334</v>
      </c>
      <c r="D374" s="99" t="e">
        <f>ACUMULADO!#REF!</f>
        <v>#REF!</v>
      </c>
      <c r="E374" s="153">
        <f t="shared" ref="E374:E380" si="105">E373</f>
        <v>41.666666666666671</v>
      </c>
      <c r="F374" s="138"/>
      <c r="G374" s="133">
        <f t="shared" si="101"/>
        <v>0</v>
      </c>
      <c r="H374" s="134">
        <f t="shared" si="102"/>
        <v>0</v>
      </c>
      <c r="I374" s="134" t="str">
        <f t="shared" si="103"/>
        <v/>
      </c>
      <c r="J374" s="135" t="str">
        <f t="shared" si="104"/>
        <v/>
      </c>
      <c r="T374" s="18"/>
      <c r="V374" s="97"/>
      <c r="W374" s="98"/>
    </row>
    <row r="375" spans="1:23" ht="18" hidden="1" customHeight="1" x14ac:dyDescent="0.25">
      <c r="A375" s="132" t="str">
        <f>Config!$B$18</f>
        <v>JERI</v>
      </c>
      <c r="B375" s="99">
        <f>METAS!$AT$10</f>
        <v>96</v>
      </c>
      <c r="C375" s="99">
        <f>ROUNDUP((B375/12)*Config!$C$6,0)</f>
        <v>40</v>
      </c>
      <c r="D375" s="99" t="e">
        <f>ACUMULADO!#REF!</f>
        <v>#REF!</v>
      </c>
      <c r="E375" s="153">
        <f t="shared" si="105"/>
        <v>41.666666666666671</v>
      </c>
      <c r="F375" s="138"/>
      <c r="G375" s="133">
        <f t="shared" si="101"/>
        <v>0</v>
      </c>
      <c r="H375" s="134">
        <f t="shared" si="102"/>
        <v>0</v>
      </c>
      <c r="I375" s="134" t="str">
        <f t="shared" si="103"/>
        <v/>
      </c>
      <c r="J375" s="135" t="str">
        <f t="shared" si="104"/>
        <v/>
      </c>
      <c r="T375" s="18"/>
      <c r="V375" s="97"/>
      <c r="W375" s="98"/>
    </row>
    <row r="376" spans="1:23" ht="18" hidden="1" customHeight="1" x14ac:dyDescent="0.25">
      <c r="A376" s="132" t="str">
        <f>Config!$B$19</f>
        <v>YANT</v>
      </c>
      <c r="B376" s="99">
        <f>METAS!$AU$10</f>
        <v>72</v>
      </c>
      <c r="C376" s="99">
        <f>ROUNDUP((B376/12)*Config!$C$6,0)</f>
        <v>30</v>
      </c>
      <c r="D376" s="99" t="e">
        <f>ACUMULADO!#REF!</f>
        <v>#REF!</v>
      </c>
      <c r="E376" s="153">
        <f t="shared" si="105"/>
        <v>41.666666666666671</v>
      </c>
      <c r="F376" s="138"/>
      <c r="G376" s="133">
        <f t="shared" si="101"/>
        <v>0</v>
      </c>
      <c r="H376" s="134">
        <f t="shared" si="102"/>
        <v>0</v>
      </c>
      <c r="I376" s="134" t="str">
        <f t="shared" si="103"/>
        <v/>
      </c>
      <c r="J376" s="135" t="str">
        <f t="shared" si="104"/>
        <v/>
      </c>
      <c r="T376" s="18"/>
      <c r="V376" s="97"/>
      <c r="W376" s="98"/>
    </row>
    <row r="377" spans="1:23" ht="18" hidden="1" customHeight="1" x14ac:dyDescent="0.25">
      <c r="A377" s="132" t="str">
        <f>Config!$B$20</f>
        <v>SORI</v>
      </c>
      <c r="B377" s="99">
        <f>METAS!$AV$10</f>
        <v>345</v>
      </c>
      <c r="C377" s="99">
        <f>ROUNDUP((B377/12)*Config!$C$6,0)</f>
        <v>144</v>
      </c>
      <c r="D377" s="99" t="e">
        <f>ACUMULADO!#REF!</f>
        <v>#REF!</v>
      </c>
      <c r="E377" s="153">
        <f t="shared" si="105"/>
        <v>41.666666666666671</v>
      </c>
      <c r="F377" s="138"/>
      <c r="G377" s="133">
        <f t="shared" si="101"/>
        <v>0</v>
      </c>
      <c r="H377" s="134">
        <f t="shared" si="102"/>
        <v>0</v>
      </c>
      <c r="I377" s="134" t="str">
        <f t="shared" si="103"/>
        <v/>
      </c>
      <c r="J377" s="135" t="str">
        <f t="shared" si="104"/>
        <v/>
      </c>
      <c r="T377" s="18"/>
      <c r="V377" s="97"/>
      <c r="W377" s="98"/>
    </row>
    <row r="378" spans="1:23" ht="18" hidden="1" customHeight="1" x14ac:dyDescent="0.25">
      <c r="A378" s="132" t="str">
        <f>Config!$B$21</f>
        <v>JEPE</v>
      </c>
      <c r="B378" s="99">
        <f>METAS!$AW$10</f>
        <v>105</v>
      </c>
      <c r="C378" s="99">
        <f>ROUNDUP((B378/12)*Config!$C$6,0)</f>
        <v>44</v>
      </c>
      <c r="D378" s="99" t="e">
        <f>ACUMULADO!#REF!</f>
        <v>#REF!</v>
      </c>
      <c r="E378" s="153">
        <f t="shared" si="105"/>
        <v>41.666666666666671</v>
      </c>
      <c r="F378" s="138"/>
      <c r="G378" s="133">
        <f>IFERROR(ROUND(D378*100/B378,1),0)</f>
        <v>0</v>
      </c>
      <c r="H378" s="134">
        <f t="shared" si="102"/>
        <v>0</v>
      </c>
      <c r="I378" s="134" t="str">
        <f t="shared" si="103"/>
        <v/>
      </c>
      <c r="J378" s="135" t="str">
        <f t="shared" si="104"/>
        <v/>
      </c>
      <c r="T378" s="18"/>
      <c r="V378" s="97"/>
      <c r="W378" s="98"/>
    </row>
    <row r="379" spans="1:23" ht="18" hidden="1" customHeight="1" x14ac:dyDescent="0.25">
      <c r="A379" s="132" t="str">
        <f>Config!$B$22</f>
        <v>ROQU</v>
      </c>
      <c r="B379" s="99">
        <f>METAS!$AX$10</f>
        <v>184</v>
      </c>
      <c r="C379" s="99">
        <f>ROUNDUP((B379/12)*Config!$C$6,0)</f>
        <v>77</v>
      </c>
      <c r="D379" s="99" t="e">
        <f>ACUMULADO!#REF!</f>
        <v>#REF!</v>
      </c>
      <c r="E379" s="153">
        <f t="shared" si="105"/>
        <v>41.666666666666671</v>
      </c>
      <c r="F379" s="138"/>
      <c r="G379" s="133">
        <f>IFERROR(ROUND(D379*100/B379,1),0)</f>
        <v>0</v>
      </c>
      <c r="H379" s="134">
        <f t="shared" si="102"/>
        <v>0</v>
      </c>
      <c r="I379" s="134" t="str">
        <f t="shared" si="103"/>
        <v/>
      </c>
      <c r="J379" s="135" t="str">
        <f t="shared" si="104"/>
        <v/>
      </c>
      <c r="T379" s="18"/>
      <c r="V379" s="97"/>
      <c r="W379" s="98"/>
    </row>
    <row r="380" spans="1:23" ht="18" hidden="1" customHeight="1" x14ac:dyDescent="0.25">
      <c r="A380" s="132" t="str">
        <f>Config!$B$23</f>
        <v>CALZ</v>
      </c>
      <c r="B380" s="99">
        <f>METAS!$AY$10</f>
        <v>81</v>
      </c>
      <c r="C380" s="99">
        <f>ROUNDUP((B380/12)*Config!$C$6,0)</f>
        <v>34</v>
      </c>
      <c r="D380" s="99" t="e">
        <f>ACUMULADO!#REF!</f>
        <v>#REF!</v>
      </c>
      <c r="E380" s="153">
        <f t="shared" si="105"/>
        <v>41.666666666666671</v>
      </c>
      <c r="F380" s="138"/>
      <c r="G380" s="133">
        <f t="shared" si="101"/>
        <v>0</v>
      </c>
      <c r="H380" s="134">
        <f t="shared" si="102"/>
        <v>0</v>
      </c>
      <c r="I380" s="134" t="str">
        <f t="shared" si="103"/>
        <v/>
      </c>
      <c r="J380" s="135" t="str">
        <f t="shared" si="104"/>
        <v/>
      </c>
      <c r="T380" s="18"/>
      <c r="W380" s="98"/>
    </row>
    <row r="381" spans="1:23" ht="18" hidden="1" customHeight="1" x14ac:dyDescent="0.25">
      <c r="A381" s="132" t="str">
        <f>Config!$B$24</f>
        <v>PUEB</v>
      </c>
      <c r="B381" s="99"/>
      <c r="C381" s="99"/>
      <c r="D381" s="99"/>
      <c r="E381" s="99"/>
      <c r="F381" s="138"/>
      <c r="G381" s="133"/>
      <c r="H381" s="134"/>
      <c r="I381" s="134"/>
      <c r="J381" s="135"/>
      <c r="T381" s="18"/>
      <c r="V381" s="136"/>
      <c r="W381" s="98"/>
    </row>
    <row r="382" spans="1:23" ht="18" hidden="1" customHeight="1" x14ac:dyDescent="0.25">
      <c r="D382" s="101"/>
      <c r="I382" s="48"/>
      <c r="J382" s="48"/>
      <c r="T382" s="18"/>
      <c r="W382" s="98"/>
    </row>
    <row r="383" spans="1:23" ht="18" hidden="1" customHeight="1" x14ac:dyDescent="0.25">
      <c r="I383" s="48"/>
      <c r="J383" s="48"/>
      <c r="T383" s="18"/>
      <c r="W383" s="98"/>
    </row>
    <row r="384" spans="1:23" ht="18" hidden="1" customHeight="1" x14ac:dyDescent="0.25">
      <c r="I384" s="48"/>
      <c r="J384" s="48"/>
      <c r="T384" s="18"/>
      <c r="W384" s="98"/>
    </row>
    <row r="385" spans="1:23" ht="18" hidden="1" customHeight="1" x14ac:dyDescent="0.25">
      <c r="I385" s="48"/>
      <c r="J385" s="48"/>
      <c r="T385" s="18"/>
      <c r="W385" s="98"/>
    </row>
    <row r="386" spans="1:23" ht="18" hidden="1" customHeight="1" x14ac:dyDescent="0.25">
      <c r="A386" s="155"/>
      <c r="B386" s="102"/>
      <c r="F386" s="102"/>
      <c r="G386" s="102"/>
      <c r="H386" s="102"/>
      <c r="I386" s="102"/>
      <c r="J386" s="102"/>
      <c r="T386" s="18"/>
      <c r="W386" s="98"/>
    </row>
    <row r="387" spans="1:23" ht="18" hidden="1" customHeight="1" x14ac:dyDescent="0.25">
      <c r="A387" s="155"/>
      <c r="B387" s="102"/>
      <c r="F387" s="102"/>
      <c r="G387" s="102"/>
      <c r="H387" s="102"/>
      <c r="I387" s="102"/>
      <c r="J387" s="102"/>
      <c r="T387" s="18"/>
      <c r="W387" s="98"/>
    </row>
    <row r="388" spans="1:23" ht="18" hidden="1" customHeight="1" x14ac:dyDescent="0.25">
      <c r="A388" s="155"/>
      <c r="B388" s="102"/>
      <c r="F388" s="102"/>
      <c r="G388" s="102"/>
      <c r="H388" s="102"/>
      <c r="I388" s="102"/>
      <c r="J388" s="102"/>
      <c r="T388" s="18"/>
      <c r="W388" s="98"/>
    </row>
    <row r="389" spans="1:23" ht="18" hidden="1" customHeight="1" x14ac:dyDescent="0.25">
      <c r="A389" s="155"/>
      <c r="B389" s="102"/>
      <c r="F389" s="102"/>
      <c r="G389" s="157"/>
      <c r="H389" s="157"/>
      <c r="I389" s="157"/>
      <c r="J389" s="157"/>
      <c r="T389" s="18"/>
      <c r="W389" s="98"/>
    </row>
    <row r="390" spans="1:23" ht="18" hidden="1" customHeight="1" x14ac:dyDescent="0.25">
      <c r="A390" s="155"/>
      <c r="B390" s="102"/>
      <c r="F390" s="102"/>
      <c r="G390" s="157"/>
      <c r="H390" s="157"/>
      <c r="I390" s="157"/>
      <c r="J390" s="157"/>
      <c r="T390" s="18"/>
      <c r="W390" s="98"/>
    </row>
    <row r="391" spans="1:23" ht="18" hidden="1" customHeight="1" x14ac:dyDescent="0.25">
      <c r="C391" s="152"/>
      <c r="G391" s="157"/>
      <c r="H391" s="157"/>
      <c r="I391" s="157"/>
      <c r="J391" s="157"/>
      <c r="T391" s="18"/>
      <c r="W391" s="98"/>
    </row>
    <row r="392" spans="1:23" ht="18" hidden="1" customHeight="1" x14ac:dyDescent="0.25">
      <c r="A392" s="104" t="s">
        <v>190</v>
      </c>
      <c r="G392" s="157"/>
      <c r="H392" s="157"/>
      <c r="I392" s="157"/>
      <c r="J392" s="157"/>
      <c r="T392" s="18"/>
      <c r="V392" s="97" t="str">
        <f>A392</f>
        <v>20. NIÑOS DE  5-11 AÑO CONTROLADOS CRED</v>
      </c>
      <c r="W392" s="98"/>
    </row>
    <row r="393" spans="1:23" ht="48" hidden="1" customHeight="1" x14ac:dyDescent="0.25">
      <c r="A393" s="107" t="s">
        <v>2</v>
      </c>
      <c r="B393" s="108" t="s">
        <v>164</v>
      </c>
      <c r="C393" s="109" t="s">
        <v>71</v>
      </c>
      <c r="D393" s="108" t="s">
        <v>185</v>
      </c>
      <c r="E393" s="108" t="s">
        <v>1</v>
      </c>
      <c r="F393" s="110"/>
      <c r="G393" s="111" t="s">
        <v>10</v>
      </c>
      <c r="H393" s="112" t="str">
        <f>"DEFICIENTE &lt;= "&amp;$E$3</f>
        <v>DEFICIENTE &lt;= 37,5</v>
      </c>
      <c r="I393" s="112" t="str">
        <f>"PROCESO &gt; "&amp;$E$3&amp;"  -  &lt; "&amp;$F$3</f>
        <v>PROCESO &gt; 37,5  -  &lt; 41,7</v>
      </c>
      <c r="J393" s="112" t="str">
        <f>"OPTIMO &gt;= "&amp;$F$3</f>
        <v>OPTIMO &gt;= 41,7</v>
      </c>
      <c r="T393" s="18"/>
      <c r="V393" s="137" t="str">
        <f>$V$1&amp;"  "&amp;V392&amp;"  "&amp;$V$3&amp;"  "&amp;$V$2</f>
        <v>RED. MOYOBAMBA:  20. NIÑOS DE  5-11 AÑO CONTROLADOS CRED  - POR MICROREDES :   ENERO - MAYO 2022</v>
      </c>
      <c r="W393" s="98"/>
    </row>
    <row r="394" spans="1:23" ht="18" hidden="1" customHeight="1" thickBot="1" x14ac:dyDescent="0.3">
      <c r="A394" s="118" t="str">
        <f>Config!$B$15</f>
        <v>RED</v>
      </c>
      <c r="B394" s="119">
        <f>SUM(B395:B403)</f>
        <v>2098.65</v>
      </c>
      <c r="C394" s="119">
        <f>SUM(C395:C403)</f>
        <v>877</v>
      </c>
      <c r="D394" s="119" t="e">
        <f>SUM(D395:D403)</f>
        <v>#REF!</v>
      </c>
      <c r="E394" s="119">
        <f>Config!$C$9</f>
        <v>41.666666666666671</v>
      </c>
      <c r="F394" s="120"/>
      <c r="G394" s="119">
        <f t="shared" ref="G394:G402" si="106">IFERROR(ROUND(D394*100/B394,1),0)</f>
        <v>0</v>
      </c>
      <c r="H394" s="121">
        <f t="shared" ref="H394:H402" si="107">IF(G394&lt;=$E$3,G394,"")</f>
        <v>0</v>
      </c>
      <c r="I394" s="121" t="str">
        <f t="shared" ref="I394:I402" si="108">IF(G394&gt;$E$3,IF(G394&lt;$F$3,G394,""),"")</f>
        <v/>
      </c>
      <c r="J394" s="119" t="str">
        <f t="shared" ref="J394:J402" si="109">IF(G394&gt;=$F$3,G394,"")</f>
        <v/>
      </c>
      <c r="T394" s="18"/>
      <c r="V394" s="97"/>
      <c r="W394" s="98"/>
    </row>
    <row r="395" spans="1:23" ht="18" hidden="1" customHeight="1" x14ac:dyDescent="0.25">
      <c r="A395" s="126" t="str">
        <f>Config!$B$16</f>
        <v>HOSP</v>
      </c>
      <c r="B395" s="127">
        <f>METAS!$AR$11</f>
        <v>0</v>
      </c>
      <c r="C395" s="127">
        <f>ROUNDUP((B395/12)*Config!$C$6,0)</f>
        <v>0</v>
      </c>
      <c r="D395" s="127" t="e">
        <f>ACUMULADO!#REF!</f>
        <v>#REF!</v>
      </c>
      <c r="E395" s="153">
        <f>E394</f>
        <v>41.666666666666671</v>
      </c>
      <c r="F395" s="128"/>
      <c r="G395" s="129">
        <f t="shared" si="106"/>
        <v>0</v>
      </c>
      <c r="H395" s="130">
        <f t="shared" si="107"/>
        <v>0</v>
      </c>
      <c r="I395" s="130" t="str">
        <f t="shared" si="108"/>
        <v/>
      </c>
      <c r="J395" s="131" t="str">
        <f t="shared" si="109"/>
        <v/>
      </c>
      <c r="T395" s="18"/>
      <c r="V395" s="97"/>
      <c r="W395" s="98"/>
    </row>
    <row r="396" spans="1:23" ht="18" hidden="1" customHeight="1" x14ac:dyDescent="0.25">
      <c r="A396" s="132" t="str">
        <f>Config!$B$17</f>
        <v>LLUI</v>
      </c>
      <c r="B396" s="99">
        <f>METAS!$AS$11</f>
        <v>882.30000000000007</v>
      </c>
      <c r="C396" s="99">
        <f>ROUNDUP((B396/12)*Config!$C$6,0)</f>
        <v>368</v>
      </c>
      <c r="D396" s="99" t="e">
        <f>ACUMULADO!#REF!</f>
        <v>#REF!</v>
      </c>
      <c r="E396" s="153">
        <f t="shared" ref="E396:E402" si="110">E395</f>
        <v>41.666666666666671</v>
      </c>
      <c r="F396" s="138"/>
      <c r="G396" s="133">
        <f t="shared" si="106"/>
        <v>0</v>
      </c>
      <c r="H396" s="134">
        <f t="shared" si="107"/>
        <v>0</v>
      </c>
      <c r="I396" s="134" t="str">
        <f t="shared" si="108"/>
        <v/>
      </c>
      <c r="J396" s="135" t="str">
        <f t="shared" si="109"/>
        <v/>
      </c>
      <c r="T396" s="18"/>
      <c r="V396" s="97"/>
      <c r="W396" s="98"/>
    </row>
    <row r="397" spans="1:23" ht="18" hidden="1" customHeight="1" x14ac:dyDescent="0.25">
      <c r="A397" s="132" t="str">
        <f>Config!$B$18</f>
        <v>JERI</v>
      </c>
      <c r="B397" s="99">
        <f>METAS!$AT$11</f>
        <v>95.2</v>
      </c>
      <c r="C397" s="99">
        <f>ROUNDUP((B397/12)*Config!$C$6,0)</f>
        <v>40</v>
      </c>
      <c r="D397" s="99" t="e">
        <f>ACUMULADO!#REF!</f>
        <v>#REF!</v>
      </c>
      <c r="E397" s="153">
        <f t="shared" si="110"/>
        <v>41.666666666666671</v>
      </c>
      <c r="F397" s="138"/>
      <c r="G397" s="133">
        <f t="shared" si="106"/>
        <v>0</v>
      </c>
      <c r="H397" s="134">
        <f t="shared" si="107"/>
        <v>0</v>
      </c>
      <c r="I397" s="134" t="str">
        <f t="shared" si="108"/>
        <v/>
      </c>
      <c r="J397" s="135" t="str">
        <f t="shared" si="109"/>
        <v/>
      </c>
      <c r="T397" s="18"/>
      <c r="V397" s="97"/>
      <c r="W397" s="98"/>
    </row>
    <row r="398" spans="1:23" ht="18" hidden="1" customHeight="1" x14ac:dyDescent="0.25">
      <c r="A398" s="132" t="str">
        <f>Config!$B$19</f>
        <v>YANT</v>
      </c>
      <c r="B398" s="99">
        <f>METAS!$AU$11</f>
        <v>121.55</v>
      </c>
      <c r="C398" s="99">
        <f>ROUNDUP((B398/12)*Config!$C$6,0)</f>
        <v>51</v>
      </c>
      <c r="D398" s="99" t="e">
        <f>ACUMULADO!#REF!</f>
        <v>#REF!</v>
      </c>
      <c r="E398" s="153">
        <f t="shared" si="110"/>
        <v>41.666666666666671</v>
      </c>
      <c r="F398" s="138"/>
      <c r="G398" s="133">
        <f t="shared" si="106"/>
        <v>0</v>
      </c>
      <c r="H398" s="134">
        <f t="shared" si="107"/>
        <v>0</v>
      </c>
      <c r="I398" s="134" t="str">
        <f t="shared" si="108"/>
        <v/>
      </c>
      <c r="J398" s="135" t="str">
        <f t="shared" si="109"/>
        <v/>
      </c>
      <c r="T398" s="18"/>
      <c r="V398" s="97"/>
      <c r="W398" s="98"/>
    </row>
    <row r="399" spans="1:23" ht="18" hidden="1" customHeight="1" x14ac:dyDescent="0.25">
      <c r="A399" s="132" t="str">
        <f>Config!$B$20</f>
        <v>SORI</v>
      </c>
      <c r="B399" s="99">
        <f>METAS!$AV$11</f>
        <v>510.85</v>
      </c>
      <c r="C399" s="99">
        <f>ROUNDUP((B399/12)*Config!$C$6,0)</f>
        <v>213</v>
      </c>
      <c r="D399" s="99" t="e">
        <f>ACUMULADO!#REF!</f>
        <v>#REF!</v>
      </c>
      <c r="E399" s="153">
        <f t="shared" si="110"/>
        <v>41.666666666666671</v>
      </c>
      <c r="F399" s="138"/>
      <c r="G399" s="133">
        <f t="shared" si="106"/>
        <v>0</v>
      </c>
      <c r="H399" s="134">
        <f t="shared" si="107"/>
        <v>0</v>
      </c>
      <c r="I399" s="134" t="str">
        <f t="shared" si="108"/>
        <v/>
      </c>
      <c r="J399" s="135" t="str">
        <f t="shared" si="109"/>
        <v/>
      </c>
      <c r="T399" s="18"/>
      <c r="V399" s="97"/>
      <c r="W399" s="98"/>
    </row>
    <row r="400" spans="1:23" ht="18" hidden="1" customHeight="1" x14ac:dyDescent="0.25">
      <c r="A400" s="132" t="str">
        <f>Config!$B$21</f>
        <v>JEPE</v>
      </c>
      <c r="B400" s="99">
        <f>METAS!$AW$11</f>
        <v>202.3</v>
      </c>
      <c r="C400" s="99">
        <f>ROUNDUP((B400/12)*Config!$C$6,0)</f>
        <v>85</v>
      </c>
      <c r="D400" s="99" t="e">
        <f>ACUMULADO!#REF!</f>
        <v>#REF!</v>
      </c>
      <c r="E400" s="153">
        <f t="shared" si="110"/>
        <v>41.666666666666671</v>
      </c>
      <c r="F400" s="138"/>
      <c r="G400" s="133">
        <f>IFERROR(ROUND(D400*100/B400,1),0)</f>
        <v>0</v>
      </c>
      <c r="H400" s="134">
        <f t="shared" si="107"/>
        <v>0</v>
      </c>
      <c r="I400" s="134" t="str">
        <f t="shared" si="108"/>
        <v/>
      </c>
      <c r="J400" s="135" t="str">
        <f t="shared" si="109"/>
        <v/>
      </c>
      <c r="T400" s="18"/>
      <c r="V400" s="97"/>
      <c r="W400" s="98"/>
    </row>
    <row r="401" spans="1:26" ht="18" hidden="1" customHeight="1" x14ac:dyDescent="0.25">
      <c r="A401" s="132" t="str">
        <f>Config!$B$22</f>
        <v>ROQU</v>
      </c>
      <c r="B401" s="99">
        <f>METAS!$AX$11</f>
        <v>191.25000000000003</v>
      </c>
      <c r="C401" s="99">
        <f>ROUNDUP((B401/12)*Config!$C$6,0)</f>
        <v>80</v>
      </c>
      <c r="D401" s="99" t="e">
        <f>ACUMULADO!#REF!</f>
        <v>#REF!</v>
      </c>
      <c r="E401" s="153">
        <f t="shared" si="110"/>
        <v>41.666666666666671</v>
      </c>
      <c r="F401" s="138"/>
      <c r="G401" s="133">
        <f>IFERROR(ROUND(D401*100/B401,1),0)</f>
        <v>0</v>
      </c>
      <c r="H401" s="134">
        <f t="shared" si="107"/>
        <v>0</v>
      </c>
      <c r="I401" s="134" t="str">
        <f t="shared" si="108"/>
        <v/>
      </c>
      <c r="J401" s="135" t="str">
        <f t="shared" si="109"/>
        <v/>
      </c>
      <c r="T401" s="18"/>
      <c r="V401" s="97"/>
      <c r="W401" s="98"/>
    </row>
    <row r="402" spans="1:26" ht="18" hidden="1" customHeight="1" x14ac:dyDescent="0.25">
      <c r="A402" s="132" t="str">
        <f>Config!$B$23</f>
        <v>CALZ</v>
      </c>
      <c r="B402" s="99">
        <f>METAS!$AY$11</f>
        <v>95.199999999999989</v>
      </c>
      <c r="C402" s="99">
        <f>ROUNDUP((B402/12)*Config!$C$6,0)</f>
        <v>40</v>
      </c>
      <c r="D402" s="99" t="e">
        <f>ACUMULADO!#REF!</f>
        <v>#REF!</v>
      </c>
      <c r="E402" s="153">
        <f t="shared" si="110"/>
        <v>41.666666666666671</v>
      </c>
      <c r="F402" s="138"/>
      <c r="G402" s="133">
        <f t="shared" si="106"/>
        <v>0</v>
      </c>
      <c r="H402" s="134">
        <f t="shared" si="107"/>
        <v>0</v>
      </c>
      <c r="I402" s="134" t="str">
        <f t="shared" si="108"/>
        <v/>
      </c>
      <c r="J402" s="135" t="str">
        <f t="shared" si="109"/>
        <v/>
      </c>
      <c r="T402" s="18"/>
      <c r="W402" s="98"/>
    </row>
    <row r="403" spans="1:26" ht="18" hidden="1" customHeight="1" x14ac:dyDescent="0.25">
      <c r="A403" s="132" t="str">
        <f>Config!$B$24</f>
        <v>PUEB</v>
      </c>
      <c r="B403" s="99"/>
      <c r="C403" s="99"/>
      <c r="D403" s="99"/>
      <c r="E403" s="99"/>
      <c r="F403" s="138"/>
      <c r="G403" s="133"/>
      <c r="H403" s="134"/>
      <c r="I403" s="134"/>
      <c r="J403" s="135"/>
      <c r="T403" s="18"/>
      <c r="W403" s="98"/>
    </row>
    <row r="404" spans="1:26" ht="18" hidden="1" customHeight="1" x14ac:dyDescent="0.25">
      <c r="D404" s="101"/>
      <c r="I404" s="48"/>
      <c r="J404" s="48"/>
      <c r="T404" s="18"/>
      <c r="W404" s="98"/>
    </row>
    <row r="405" spans="1:26" ht="18" hidden="1" customHeight="1" x14ac:dyDescent="0.25">
      <c r="I405" s="48"/>
      <c r="J405" s="48"/>
      <c r="T405" s="18"/>
      <c r="W405" s="98"/>
    </row>
    <row r="406" spans="1:26" ht="18" hidden="1" customHeight="1" x14ac:dyDescent="0.25">
      <c r="I406" s="48"/>
      <c r="J406" s="48"/>
      <c r="K406" s="157"/>
      <c r="T406" s="18"/>
      <c r="W406" s="98"/>
    </row>
    <row r="407" spans="1:26" ht="18" hidden="1" customHeight="1" x14ac:dyDescent="0.25">
      <c r="I407" s="48"/>
      <c r="J407" s="48"/>
      <c r="K407" s="157"/>
      <c r="T407" s="18"/>
      <c r="W407" s="98"/>
    </row>
    <row r="408" spans="1:26" ht="18" hidden="1" customHeight="1" x14ac:dyDescent="0.25">
      <c r="A408" s="139"/>
      <c r="B408" s="103"/>
      <c r="D408" s="103"/>
      <c r="E408" s="103"/>
      <c r="H408" s="157"/>
      <c r="I408" s="157"/>
      <c r="J408" s="157"/>
      <c r="K408" s="157"/>
      <c r="T408" s="18"/>
      <c r="W408" s="98"/>
    </row>
    <row r="409" spans="1:26" ht="18" hidden="1" customHeight="1" x14ac:dyDescent="0.25">
      <c r="H409" s="157"/>
      <c r="I409" s="157"/>
      <c r="J409" s="157"/>
      <c r="K409" s="157"/>
      <c r="T409" s="18"/>
      <c r="W409" s="98"/>
    </row>
    <row r="410" spans="1:26" ht="18" hidden="1" customHeight="1" x14ac:dyDescent="0.25">
      <c r="I410" s="48"/>
      <c r="J410" s="48"/>
      <c r="T410" s="18"/>
      <c r="W410" s="98"/>
    </row>
    <row r="411" spans="1:26" ht="18" hidden="1" customHeight="1" x14ac:dyDescent="0.25">
      <c r="H411" s="157"/>
      <c r="I411" s="157"/>
      <c r="J411" s="157"/>
      <c r="K411" s="157"/>
      <c r="T411" s="18"/>
      <c r="W411" s="98"/>
    </row>
    <row r="412" spans="1:26" ht="18" hidden="1" customHeight="1" x14ac:dyDescent="0.25">
      <c r="A412" s="104" t="s">
        <v>191</v>
      </c>
      <c r="H412" s="157"/>
      <c r="I412" s="157"/>
      <c r="J412" s="157"/>
      <c r="K412" s="157"/>
      <c r="T412" s="18"/>
      <c r="W412" s="98"/>
    </row>
    <row r="413" spans="1:26" ht="48" hidden="1" customHeight="1" x14ac:dyDescent="0.25">
      <c r="A413" s="107" t="s">
        <v>2</v>
      </c>
      <c r="B413" s="108" t="s">
        <v>192</v>
      </c>
      <c r="C413" s="109" t="s">
        <v>193</v>
      </c>
      <c r="D413" s="108" t="s">
        <v>194</v>
      </c>
      <c r="E413" s="108" t="s">
        <v>195</v>
      </c>
      <c r="F413" s="110"/>
      <c r="G413" s="111" t="s">
        <v>11</v>
      </c>
      <c r="H413" s="112" t="str">
        <f>"ALERTA &gt;= "&amp;$Y$418</f>
        <v>ALERTA &gt;= 10,1</v>
      </c>
      <c r="I413" s="112" t="str">
        <f>"PROCESO &gt; "&amp;$W$418&amp;"  -  &lt; "&amp;$X$418</f>
        <v>PROCESO &gt; 5  -  &lt; 10</v>
      </c>
      <c r="J413" s="112" t="str">
        <f>"SIN EDAS &lt;= "&amp;$W$418</f>
        <v>SIN EDAS &lt;= 5</v>
      </c>
      <c r="K413" s="157"/>
      <c r="T413" s="18"/>
      <c r="V413" s="97" t="str">
        <f>A412</f>
        <v>21. CASOS DE EDAS EN MENORES DE 5 AÑOS</v>
      </c>
      <c r="W413" s="98"/>
    </row>
    <row r="414" spans="1:26" ht="18" hidden="1" customHeight="1" thickBot="1" x14ac:dyDescent="0.3">
      <c r="A414" s="118" t="str">
        <f>Config!$B$15</f>
        <v>RED</v>
      </c>
      <c r="B414" s="119">
        <f>SUM(B415:B423)</f>
        <v>11002</v>
      </c>
      <c r="C414" s="119">
        <f>SUM(C415:C423)</f>
        <v>4588</v>
      </c>
      <c r="D414" s="119">
        <f>SUM(D415:D423)</f>
        <v>1335</v>
      </c>
      <c r="E414" s="119">
        <f>$X$418</f>
        <v>10</v>
      </c>
      <c r="F414" s="120"/>
      <c r="G414" s="119">
        <f>IFERROR(ROUND(D414*100/C414,1),0)</f>
        <v>29.1</v>
      </c>
      <c r="H414" s="121">
        <f t="shared" ref="H414:H422" si="111">IF(G414&gt;=$Y$418,G414,"")</f>
        <v>29.1</v>
      </c>
      <c r="I414" s="121" t="str">
        <f t="shared" ref="I414:I422" si="112">IF(AND(G414&gt;$W$418, G414&lt;$Y$418),G414,"")</f>
        <v/>
      </c>
      <c r="J414" s="119" t="str">
        <f t="shared" ref="J414:J422" si="113">IF(G414&lt;=$W$418,G414,"")</f>
        <v/>
      </c>
      <c r="K414" s="157"/>
      <c r="T414" s="18"/>
      <c r="V414" s="137" t="str">
        <f>$V$1&amp;"  "&amp;V413&amp;"  "&amp;$V$3&amp;"  "&amp;$V$2</f>
        <v>RED. MOYOBAMBA:  21. CASOS DE EDAS EN MENORES DE 5 AÑOS  - POR MICROREDES :   ENERO - MAYO 2022</v>
      </c>
      <c r="W414" s="98"/>
    </row>
    <row r="415" spans="1:26" s="159" customFormat="1" ht="18" hidden="1" customHeight="1" x14ac:dyDescent="0.25">
      <c r="A415" s="126" t="str">
        <f>Config!$B$16</f>
        <v>HOSP</v>
      </c>
      <c r="B415" s="127">
        <f>METAS!$AR$16</f>
        <v>0</v>
      </c>
      <c r="C415" s="127">
        <f>ROUNDUP((B415/12)*Config!$C$6,0)</f>
        <v>0</v>
      </c>
      <c r="D415" s="127">
        <f>SUM(ACUMULADO!$AT$12:$AT$14)</f>
        <v>0</v>
      </c>
      <c r="E415" s="153">
        <f>E414</f>
        <v>10</v>
      </c>
      <c r="F415" s="128"/>
      <c r="G415" s="129">
        <f>IFERROR(ROUND(D415*100/C415,1),0)</f>
        <v>0</v>
      </c>
      <c r="H415" s="130" t="str">
        <f t="shared" si="111"/>
        <v/>
      </c>
      <c r="I415" s="130" t="str">
        <f t="shared" si="112"/>
        <v/>
      </c>
      <c r="J415" s="131">
        <f t="shared" si="113"/>
        <v>0</v>
      </c>
      <c r="K415" s="157"/>
      <c r="L415" s="48"/>
      <c r="M415" s="48"/>
      <c r="N415" s="48"/>
      <c r="O415" s="48"/>
      <c r="P415" s="48"/>
      <c r="Q415" s="48"/>
      <c r="R415" s="48"/>
      <c r="S415" s="48"/>
      <c r="T415" s="18"/>
      <c r="U415" s="158"/>
      <c r="V415" s="97"/>
      <c r="W415" s="158"/>
      <c r="X415" s="158"/>
      <c r="Y415" s="158"/>
      <c r="Z415" s="158"/>
    </row>
    <row r="416" spans="1:26" s="159" customFormat="1" ht="18" hidden="1" customHeight="1" x14ac:dyDescent="0.25">
      <c r="A416" s="132" t="str">
        <f>Config!$B$17</f>
        <v>LLUI</v>
      </c>
      <c r="B416" s="99">
        <f>METAS!$AS$16</f>
        <v>4795</v>
      </c>
      <c r="C416" s="99">
        <f>ROUNDUP((B416/12)*Config!$C$6,0)</f>
        <v>1998</v>
      </c>
      <c r="D416" s="99">
        <f>SUM(ACUMULADO!$AU$12:$AU$14)</f>
        <v>593</v>
      </c>
      <c r="E416" s="153">
        <f t="shared" ref="E416:E422" si="114">E415</f>
        <v>10</v>
      </c>
      <c r="F416" s="138"/>
      <c r="G416" s="133">
        <f t="shared" ref="G416:G422" si="115">IFERROR(ROUND(D416*100/C416,1),0)</f>
        <v>29.7</v>
      </c>
      <c r="H416" s="134">
        <f t="shared" si="111"/>
        <v>29.7</v>
      </c>
      <c r="I416" s="134" t="str">
        <f t="shared" si="112"/>
        <v/>
      </c>
      <c r="J416" s="135" t="str">
        <f t="shared" si="113"/>
        <v/>
      </c>
      <c r="K416" s="48"/>
      <c r="L416" s="48"/>
      <c r="M416" s="48"/>
      <c r="N416" s="48"/>
      <c r="O416" s="48"/>
      <c r="P416" s="48"/>
      <c r="Q416" s="48"/>
      <c r="R416" s="48"/>
      <c r="S416" s="48"/>
      <c r="T416" s="18"/>
      <c r="U416" s="158"/>
      <c r="V416" s="97"/>
      <c r="W416" s="158"/>
      <c r="X416" s="18"/>
      <c r="Y416" s="18"/>
      <c r="Z416" s="18"/>
    </row>
    <row r="417" spans="1:26" s="159" customFormat="1" ht="18" hidden="1" customHeight="1" x14ac:dyDescent="0.25">
      <c r="A417" s="132" t="str">
        <f>Config!$B$18</f>
        <v>JERI</v>
      </c>
      <c r="B417" s="99">
        <f>METAS!$AT$16</f>
        <v>473</v>
      </c>
      <c r="C417" s="99">
        <f>ROUNDUP((B417/12)*Config!$C$6,0)</f>
        <v>198</v>
      </c>
      <c r="D417" s="99">
        <f>SUM(ACUMULADO!$AV$12:$AV$14)</f>
        <v>54</v>
      </c>
      <c r="E417" s="153">
        <f t="shared" si="114"/>
        <v>10</v>
      </c>
      <c r="F417" s="138"/>
      <c r="G417" s="133">
        <f t="shared" si="115"/>
        <v>27.3</v>
      </c>
      <c r="H417" s="134">
        <f t="shared" si="111"/>
        <v>27.3</v>
      </c>
      <c r="I417" s="134" t="str">
        <f t="shared" si="112"/>
        <v/>
      </c>
      <c r="J417" s="135" t="str">
        <f t="shared" si="113"/>
        <v/>
      </c>
      <c r="K417" s="48"/>
      <c r="L417" s="48"/>
      <c r="M417" s="48"/>
      <c r="N417" s="48"/>
      <c r="O417" s="48"/>
      <c r="P417" s="48"/>
      <c r="Q417" s="48"/>
      <c r="R417" s="48"/>
      <c r="S417" s="48"/>
      <c r="T417" s="18"/>
      <c r="U417" s="158"/>
      <c r="V417" s="97"/>
      <c r="W417" s="160" t="s">
        <v>196</v>
      </c>
      <c r="X417" s="161" t="s">
        <v>197</v>
      </c>
      <c r="Y417" s="161" t="s">
        <v>198</v>
      </c>
      <c r="Z417" s="18"/>
    </row>
    <row r="418" spans="1:26" s="159" customFormat="1" ht="18" hidden="1" customHeight="1" x14ac:dyDescent="0.25">
      <c r="A418" s="132" t="str">
        <f>Config!$B$19</f>
        <v>YANT</v>
      </c>
      <c r="B418" s="99">
        <f>METAS!$AU$16</f>
        <v>726</v>
      </c>
      <c r="C418" s="99">
        <f>ROUNDUP((B418/12)*Config!$C$6,0)</f>
        <v>303</v>
      </c>
      <c r="D418" s="99">
        <f>SUM(ACUMULADO!$AW$12:$AW$14)</f>
        <v>96</v>
      </c>
      <c r="E418" s="153">
        <f t="shared" si="114"/>
        <v>10</v>
      </c>
      <c r="F418" s="138"/>
      <c r="G418" s="133">
        <f t="shared" si="115"/>
        <v>31.7</v>
      </c>
      <c r="H418" s="134">
        <f t="shared" si="111"/>
        <v>31.7</v>
      </c>
      <c r="I418" s="134" t="str">
        <f t="shared" si="112"/>
        <v/>
      </c>
      <c r="J418" s="135" t="str">
        <f t="shared" si="113"/>
        <v/>
      </c>
      <c r="K418" s="48"/>
      <c r="L418" s="48"/>
      <c r="M418" s="48"/>
      <c r="N418" s="48"/>
      <c r="O418" s="48"/>
      <c r="P418" s="48"/>
      <c r="Q418" s="48"/>
      <c r="R418" s="48"/>
      <c r="S418" s="48"/>
      <c r="T418" s="18"/>
      <c r="U418" s="158"/>
      <c r="V418" s="97"/>
      <c r="W418" s="162">
        <v>5</v>
      </c>
      <c r="X418" s="149">
        <v>10</v>
      </c>
      <c r="Y418" s="149">
        <v>10.1</v>
      </c>
      <c r="Z418" s="18"/>
    </row>
    <row r="419" spans="1:26" s="159" customFormat="1" ht="18" hidden="1" customHeight="1" x14ac:dyDescent="0.25">
      <c r="A419" s="132" t="str">
        <f>Config!$B$20</f>
        <v>SORI</v>
      </c>
      <c r="B419" s="99">
        <f>METAS!$AV$16</f>
        <v>2482</v>
      </c>
      <c r="C419" s="99">
        <f>ROUNDUP((B419/12)*Config!$C$6,0)</f>
        <v>1035</v>
      </c>
      <c r="D419" s="99">
        <f>SUM(ACUMULADO!$AX$12:$AX$14)</f>
        <v>325</v>
      </c>
      <c r="E419" s="153">
        <f t="shared" si="114"/>
        <v>10</v>
      </c>
      <c r="F419" s="138"/>
      <c r="G419" s="133">
        <f t="shared" si="115"/>
        <v>31.4</v>
      </c>
      <c r="H419" s="134">
        <f t="shared" si="111"/>
        <v>31.4</v>
      </c>
      <c r="I419" s="134" t="str">
        <f t="shared" si="112"/>
        <v/>
      </c>
      <c r="J419" s="135" t="str">
        <f t="shared" si="113"/>
        <v/>
      </c>
      <c r="K419" s="48"/>
      <c r="L419" s="48"/>
      <c r="M419" s="48"/>
      <c r="N419" s="48"/>
      <c r="O419" s="48"/>
      <c r="P419" s="48"/>
      <c r="Q419" s="48"/>
      <c r="R419" s="48"/>
      <c r="S419" s="48"/>
      <c r="T419" s="18"/>
      <c r="U419" s="158"/>
      <c r="V419" s="97"/>
      <c r="W419" s="158"/>
      <c r="X419" s="149"/>
      <c r="Y419" s="18"/>
      <c r="Z419" s="18"/>
    </row>
    <row r="420" spans="1:26" s="159" customFormat="1" ht="18" hidden="1" customHeight="1" x14ac:dyDescent="0.25">
      <c r="A420" s="132" t="str">
        <f>Config!$B$21</f>
        <v>JEPE</v>
      </c>
      <c r="B420" s="99">
        <f>METAS!$AW$16</f>
        <v>1160</v>
      </c>
      <c r="C420" s="99">
        <f>ROUNDUP((B420/12)*Config!$C$6,0)</f>
        <v>484</v>
      </c>
      <c r="D420" s="99">
        <f>SUM(ACUMULADO!$AY$12:$AY$14)</f>
        <v>140</v>
      </c>
      <c r="E420" s="153">
        <f t="shared" si="114"/>
        <v>10</v>
      </c>
      <c r="F420" s="138"/>
      <c r="G420" s="133">
        <f>IFERROR(ROUND(D420*100/C420,1),0)</f>
        <v>28.9</v>
      </c>
      <c r="H420" s="134">
        <f t="shared" si="111"/>
        <v>28.9</v>
      </c>
      <c r="I420" s="134" t="str">
        <f t="shared" si="112"/>
        <v/>
      </c>
      <c r="J420" s="135" t="str">
        <f t="shared" si="113"/>
        <v/>
      </c>
      <c r="K420" s="48"/>
      <c r="L420" s="48"/>
      <c r="M420" s="48"/>
      <c r="N420" s="48"/>
      <c r="O420" s="48"/>
      <c r="P420" s="48"/>
      <c r="Q420" s="48"/>
      <c r="R420" s="48"/>
      <c r="S420" s="48"/>
      <c r="T420" s="18"/>
      <c r="U420" s="158"/>
      <c r="V420" s="97"/>
      <c r="W420" s="158"/>
      <c r="X420" s="18"/>
      <c r="Y420" s="18"/>
      <c r="Z420" s="18"/>
    </row>
    <row r="421" spans="1:26" s="159" customFormat="1" ht="18" hidden="1" customHeight="1" x14ac:dyDescent="0.25">
      <c r="A421" s="132" t="str">
        <f>Config!$B$22</f>
        <v>ROQU</v>
      </c>
      <c r="B421" s="99">
        <f>METAS!$AX$16</f>
        <v>813</v>
      </c>
      <c r="C421" s="99">
        <f>ROUNDUP((B421/12)*Config!$C$6,0)</f>
        <v>339</v>
      </c>
      <c r="D421" s="99">
        <f>SUM(ACUMULADO!$AZ$12:$AZ$14)</f>
        <v>48</v>
      </c>
      <c r="E421" s="153">
        <f t="shared" si="114"/>
        <v>10</v>
      </c>
      <c r="F421" s="138"/>
      <c r="G421" s="133">
        <f>IFERROR(ROUND(D421*100/C421,1),0)</f>
        <v>14.2</v>
      </c>
      <c r="H421" s="134">
        <f t="shared" si="111"/>
        <v>14.2</v>
      </c>
      <c r="I421" s="134" t="str">
        <f t="shared" si="112"/>
        <v/>
      </c>
      <c r="J421" s="135" t="str">
        <f t="shared" si="113"/>
        <v/>
      </c>
      <c r="K421" s="48"/>
      <c r="L421" s="48"/>
      <c r="M421" s="48"/>
      <c r="N421" s="48"/>
      <c r="O421" s="48"/>
      <c r="P421" s="48"/>
      <c r="Q421" s="48"/>
      <c r="R421" s="48"/>
      <c r="S421" s="48"/>
      <c r="T421" s="18"/>
      <c r="U421" s="158"/>
      <c r="V421" s="97"/>
      <c r="W421" s="158"/>
      <c r="X421" s="18"/>
      <c r="Y421" s="18"/>
      <c r="Z421" s="18"/>
    </row>
    <row r="422" spans="1:26" s="159" customFormat="1" ht="18" hidden="1" customHeight="1" x14ac:dyDescent="0.25">
      <c r="A422" s="132" t="str">
        <f>Config!$B$23</f>
        <v>CALZ</v>
      </c>
      <c r="B422" s="99">
        <f>METAS!$AY$16</f>
        <v>553</v>
      </c>
      <c r="C422" s="99">
        <f>ROUNDUP((B422/12)*Config!$C$6,0)</f>
        <v>231</v>
      </c>
      <c r="D422" s="99">
        <f>SUM(ACUMULADO!$BA$12:$BA$14)</f>
        <v>79</v>
      </c>
      <c r="E422" s="153">
        <f t="shared" si="114"/>
        <v>10</v>
      </c>
      <c r="F422" s="138"/>
      <c r="G422" s="133">
        <f t="shared" si="115"/>
        <v>34.200000000000003</v>
      </c>
      <c r="H422" s="134">
        <f t="shared" si="111"/>
        <v>34.200000000000003</v>
      </c>
      <c r="I422" s="134" t="str">
        <f t="shared" si="112"/>
        <v/>
      </c>
      <c r="J422" s="135" t="str">
        <f t="shared" si="113"/>
        <v/>
      </c>
      <c r="K422" s="48"/>
      <c r="L422" s="48"/>
      <c r="M422" s="48"/>
      <c r="N422" s="48"/>
      <c r="O422" s="48"/>
      <c r="P422" s="48"/>
      <c r="Q422" s="48"/>
      <c r="R422" s="48"/>
      <c r="S422" s="48"/>
      <c r="T422" s="18"/>
      <c r="U422" s="158"/>
      <c r="V422" s="122"/>
      <c r="W422" s="158"/>
      <c r="X422" s="18"/>
      <c r="Y422" s="18"/>
      <c r="Z422" s="18"/>
    </row>
    <row r="423" spans="1:26" s="159" customFormat="1" ht="18" hidden="1" customHeight="1" x14ac:dyDescent="0.25">
      <c r="A423" s="132" t="str">
        <f>Config!$B$24</f>
        <v>PUEB</v>
      </c>
      <c r="B423" s="99"/>
      <c r="C423" s="99"/>
      <c r="D423" s="99"/>
      <c r="E423" s="99"/>
      <c r="F423" s="138"/>
      <c r="G423" s="133"/>
      <c r="H423" s="134"/>
      <c r="I423" s="134"/>
      <c r="J423" s="135"/>
      <c r="K423" s="157"/>
      <c r="L423" s="48"/>
      <c r="M423" s="48"/>
      <c r="N423" s="48"/>
      <c r="O423" s="48"/>
      <c r="P423" s="48"/>
      <c r="Q423" s="48"/>
      <c r="R423" s="48"/>
      <c r="S423" s="48"/>
      <c r="T423" s="18"/>
      <c r="U423" s="158"/>
      <c r="V423" s="122"/>
      <c r="W423" s="158"/>
      <c r="X423" s="18"/>
      <c r="Y423" s="18"/>
      <c r="Z423" s="18"/>
    </row>
    <row r="424" spans="1:26" s="159" customFormat="1" ht="18" hidden="1" customHeight="1" x14ac:dyDescent="0.25">
      <c r="A424" s="163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18"/>
      <c r="U424" s="158"/>
      <c r="V424" s="122"/>
      <c r="W424" s="158"/>
      <c r="X424" s="18"/>
      <c r="Y424" s="18"/>
      <c r="Z424" s="18"/>
    </row>
    <row r="425" spans="1:26" s="159" customFormat="1" ht="18" hidden="1" customHeight="1" x14ac:dyDescent="0.25">
      <c r="A425" s="163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18"/>
      <c r="U425" s="158"/>
      <c r="V425" s="122"/>
      <c r="W425" s="158"/>
      <c r="X425" s="18"/>
      <c r="Y425" s="18"/>
      <c r="Z425" s="18"/>
    </row>
    <row r="426" spans="1:26" s="159" customFormat="1" ht="18" hidden="1" customHeight="1" x14ac:dyDescent="0.25">
      <c r="A426" s="163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18"/>
      <c r="U426" s="158"/>
      <c r="V426" s="122"/>
      <c r="W426" s="158"/>
      <c r="X426" s="18"/>
      <c r="Y426" s="18"/>
      <c r="Z426" s="18"/>
    </row>
    <row r="427" spans="1:26" s="159" customFormat="1" ht="18" hidden="1" customHeight="1" x14ac:dyDescent="0.25">
      <c r="A427" s="163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18"/>
      <c r="U427" s="158"/>
      <c r="V427" s="122"/>
      <c r="W427" s="158"/>
      <c r="X427" s="18"/>
      <c r="Y427" s="18"/>
      <c r="Z427" s="18"/>
    </row>
    <row r="428" spans="1:26" s="159" customFormat="1" ht="18" hidden="1" customHeight="1" x14ac:dyDescent="0.25">
      <c r="A428" s="139"/>
      <c r="B428" s="103"/>
      <c r="C428" s="101"/>
      <c r="D428" s="103"/>
      <c r="E428" s="103"/>
      <c r="F428" s="103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18"/>
      <c r="U428" s="158"/>
      <c r="V428" s="122"/>
      <c r="W428" s="158"/>
      <c r="X428" s="18"/>
      <c r="Y428" s="18"/>
      <c r="Z428" s="18"/>
    </row>
    <row r="429" spans="1:26" s="159" customFormat="1" ht="18" hidden="1" customHeight="1" x14ac:dyDescent="0.25">
      <c r="A429" s="139"/>
      <c r="B429" s="103"/>
      <c r="C429" s="101"/>
      <c r="D429" s="103"/>
      <c r="E429" s="103"/>
      <c r="F429" s="103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18"/>
      <c r="U429" s="158"/>
      <c r="V429" s="122"/>
      <c r="W429" s="158"/>
      <c r="X429" s="18"/>
      <c r="Y429" s="18"/>
      <c r="Z429" s="18"/>
    </row>
    <row r="430" spans="1:26" s="159" customFormat="1" ht="18" hidden="1" customHeight="1" x14ac:dyDescent="0.25">
      <c r="A430" s="139"/>
      <c r="B430" s="103"/>
      <c r="C430" s="101"/>
      <c r="D430" s="103"/>
      <c r="E430" s="103"/>
      <c r="F430" s="103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18"/>
      <c r="U430" s="158"/>
      <c r="V430" s="105"/>
      <c r="W430" s="158"/>
      <c r="X430" s="18"/>
      <c r="Y430" s="18"/>
      <c r="Z430" s="18"/>
    </row>
    <row r="431" spans="1:26" s="159" customFormat="1" ht="18" hidden="1" customHeight="1" x14ac:dyDescent="0.25">
      <c r="A431" s="139"/>
      <c r="B431" s="103"/>
      <c r="C431" s="101"/>
      <c r="D431" s="103"/>
      <c r="E431" s="103"/>
      <c r="F431" s="103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18"/>
      <c r="U431" s="158"/>
      <c r="V431" s="105"/>
      <c r="W431" s="158"/>
      <c r="X431" s="18"/>
      <c r="Y431" s="18"/>
      <c r="Z431" s="18"/>
    </row>
    <row r="432" spans="1:26" ht="18" hidden="1" customHeight="1" x14ac:dyDescent="0.25">
      <c r="H432" s="157"/>
      <c r="I432" s="157"/>
      <c r="J432" s="157"/>
      <c r="K432" s="157"/>
      <c r="T432" s="18"/>
      <c r="W432" s="98"/>
    </row>
    <row r="433" spans="1:26" ht="18" hidden="1" customHeight="1" x14ac:dyDescent="0.25">
      <c r="A433" s="104" t="s">
        <v>199</v>
      </c>
      <c r="H433" s="157"/>
      <c r="I433" s="157"/>
      <c r="J433" s="157"/>
      <c r="K433" s="157"/>
      <c r="T433" s="18"/>
      <c r="V433" s="97" t="str">
        <f>A433</f>
        <v>22. CASOS DE EDAS COMPLICADAS EN MENORES DE 5 AÑOS</v>
      </c>
      <c r="W433" s="98"/>
    </row>
    <row r="434" spans="1:26" ht="48" hidden="1" customHeight="1" x14ac:dyDescent="0.25">
      <c r="A434" s="107" t="s">
        <v>2</v>
      </c>
      <c r="B434" s="108" t="s">
        <v>194</v>
      </c>
      <c r="C434" s="109" t="s">
        <v>200</v>
      </c>
      <c r="D434" s="108" t="s">
        <v>201</v>
      </c>
      <c r="E434" s="108"/>
      <c r="F434" s="110"/>
      <c r="G434" s="111" t="s">
        <v>11</v>
      </c>
      <c r="H434" s="112" t="str">
        <f>"ALERTA &gt; "&amp;$Y$439</f>
        <v>ALERTA &gt; 5,1</v>
      </c>
      <c r="I434" s="112" t="str">
        <f>"PROCESO &gt; "&amp;$W$439&amp;"  -  &lt; "&amp;$Y$439</f>
        <v>PROCESO &gt; 0  -  &lt; 5,1</v>
      </c>
      <c r="J434" s="112" t="str">
        <f>"SIN EDAS COMPLICADAS &lt;= "&amp;$W$439</f>
        <v>SIN EDAS COMPLICADAS &lt;= 0</v>
      </c>
      <c r="K434" s="157"/>
      <c r="T434" s="18"/>
      <c r="V434" s="137" t="str">
        <f>$V$1&amp;"  "&amp;V433&amp;"  "&amp;$V$3&amp;"  "&amp;$V$2</f>
        <v>RED. MOYOBAMBA:  22. CASOS DE EDAS COMPLICADAS EN MENORES DE 5 AÑOS  - POR MICROREDES :   ENERO - MAYO 2022</v>
      </c>
      <c r="W434" s="98"/>
    </row>
    <row r="435" spans="1:26" ht="18" hidden="1" customHeight="1" thickBot="1" x14ac:dyDescent="0.3">
      <c r="A435" s="118" t="str">
        <f>Config!$B$15</f>
        <v>RED</v>
      </c>
      <c r="B435" s="119">
        <f>SUM(B436:B443)</f>
        <v>1335</v>
      </c>
      <c r="C435" s="119">
        <f>SUM(C436:C444)</f>
        <v>2167</v>
      </c>
      <c r="D435" s="119">
        <f>$X$439</f>
        <v>5</v>
      </c>
      <c r="E435" s="119"/>
      <c r="F435" s="120"/>
      <c r="G435" s="119">
        <f t="shared" ref="G435:G443" si="116">IFERROR(+C435*100/B435,0)</f>
        <v>162.32209737827716</v>
      </c>
      <c r="H435" s="121">
        <f t="shared" ref="H435:H443" si="117">IF(G435&gt;=$Y$439,G435,"")</f>
        <v>162.32209737827716</v>
      </c>
      <c r="I435" s="121" t="str">
        <f t="shared" ref="I435:I443" si="118">IF(AND(G435&gt;$W$439, G435&lt;$Y$439),G435,"")</f>
        <v/>
      </c>
      <c r="J435" s="119" t="str">
        <f t="shared" ref="J435:J443" si="119">IF(G435&lt;=$W$439,G435,"")</f>
        <v/>
      </c>
      <c r="K435" s="157"/>
      <c r="T435" s="18"/>
      <c r="V435" s="97"/>
      <c r="W435" s="98"/>
    </row>
    <row r="436" spans="1:26" s="159" customFormat="1" ht="18" hidden="1" customHeight="1" x14ac:dyDescent="0.25">
      <c r="A436" s="126" t="str">
        <f>Config!$B$16</f>
        <v>HOSP</v>
      </c>
      <c r="B436" s="127">
        <f t="shared" ref="B436:B443" si="120">D415</f>
        <v>0</v>
      </c>
      <c r="C436" s="127">
        <f>SUM(ACUMULADO!$AT$15:$AT$20)</f>
        <v>8</v>
      </c>
      <c r="D436" s="153">
        <f>D435</f>
        <v>5</v>
      </c>
      <c r="E436" s="127"/>
      <c r="F436" s="128"/>
      <c r="G436" s="129">
        <f t="shared" si="116"/>
        <v>0</v>
      </c>
      <c r="H436" s="130" t="str">
        <f t="shared" si="117"/>
        <v/>
      </c>
      <c r="I436" s="130" t="str">
        <f t="shared" si="118"/>
        <v/>
      </c>
      <c r="J436" s="131">
        <f t="shared" si="119"/>
        <v>0</v>
      </c>
      <c r="K436" s="157"/>
      <c r="L436" s="48"/>
      <c r="M436" s="48"/>
      <c r="N436" s="48"/>
      <c r="O436" s="48"/>
      <c r="P436" s="48"/>
      <c r="Q436" s="48"/>
      <c r="R436" s="48"/>
      <c r="S436" s="48"/>
      <c r="T436" s="18"/>
      <c r="U436" s="158"/>
      <c r="V436" s="97"/>
      <c r="W436" s="158"/>
      <c r="X436" s="18"/>
      <c r="Y436" s="18"/>
      <c r="Z436" s="18"/>
    </row>
    <row r="437" spans="1:26" s="159" customFormat="1" ht="18" hidden="1" customHeight="1" x14ac:dyDescent="0.25">
      <c r="A437" s="132" t="str">
        <f>Config!$B$17</f>
        <v>LLUI</v>
      </c>
      <c r="B437" s="99">
        <f t="shared" si="120"/>
        <v>593</v>
      </c>
      <c r="C437" s="99">
        <f>SUM(ACUMULADO!$AU$15:$AU$20)</f>
        <v>813</v>
      </c>
      <c r="D437" s="153">
        <f t="shared" ref="D437:D444" si="121">D436</f>
        <v>5</v>
      </c>
      <c r="E437" s="99"/>
      <c r="F437" s="138"/>
      <c r="G437" s="133">
        <f t="shared" si="116"/>
        <v>137.09949409780776</v>
      </c>
      <c r="H437" s="134">
        <f t="shared" si="117"/>
        <v>137.09949409780776</v>
      </c>
      <c r="I437" s="134" t="str">
        <f t="shared" si="118"/>
        <v/>
      </c>
      <c r="J437" s="135" t="str">
        <f t="shared" si="119"/>
        <v/>
      </c>
      <c r="K437" s="48"/>
      <c r="L437" s="48"/>
      <c r="M437" s="48"/>
      <c r="N437" s="48"/>
      <c r="O437" s="48"/>
      <c r="P437" s="48"/>
      <c r="Q437" s="48"/>
      <c r="R437" s="48"/>
      <c r="S437" s="48"/>
      <c r="T437" s="18"/>
      <c r="U437" s="158"/>
      <c r="V437" s="97"/>
      <c r="W437" s="158"/>
      <c r="X437" s="18"/>
      <c r="Y437" s="18"/>
      <c r="Z437" s="18"/>
    </row>
    <row r="438" spans="1:26" s="159" customFormat="1" ht="18" hidden="1" customHeight="1" x14ac:dyDescent="0.25">
      <c r="A438" s="132" t="str">
        <f>Config!$B$18</f>
        <v>JERI</v>
      </c>
      <c r="B438" s="99">
        <f t="shared" si="120"/>
        <v>54</v>
      </c>
      <c r="C438" s="99">
        <f>SUM(ACUMULADO!$AV$15:$AV$20)</f>
        <v>105</v>
      </c>
      <c r="D438" s="153">
        <f t="shared" si="121"/>
        <v>5</v>
      </c>
      <c r="E438" s="99"/>
      <c r="F438" s="138"/>
      <c r="G438" s="133">
        <f t="shared" si="116"/>
        <v>194.44444444444446</v>
      </c>
      <c r="H438" s="134">
        <f t="shared" si="117"/>
        <v>194.44444444444446</v>
      </c>
      <c r="I438" s="134" t="str">
        <f t="shared" si="118"/>
        <v/>
      </c>
      <c r="J438" s="135" t="str">
        <f t="shared" si="119"/>
        <v/>
      </c>
      <c r="K438" s="48"/>
      <c r="L438" s="48"/>
      <c r="M438" s="48"/>
      <c r="N438" s="48"/>
      <c r="O438" s="48"/>
      <c r="P438" s="48"/>
      <c r="Q438" s="48"/>
      <c r="R438" s="48"/>
      <c r="S438" s="48"/>
      <c r="T438" s="18"/>
      <c r="U438" s="158"/>
      <c r="V438" s="97"/>
      <c r="W438" s="160" t="s">
        <v>196</v>
      </c>
      <c r="X438" s="161" t="s">
        <v>197</v>
      </c>
      <c r="Y438" s="161" t="s">
        <v>198</v>
      </c>
      <c r="Z438" s="18"/>
    </row>
    <row r="439" spans="1:26" s="159" customFormat="1" ht="18" hidden="1" customHeight="1" x14ac:dyDescent="0.25">
      <c r="A439" s="132" t="str">
        <f>Config!$B$19</f>
        <v>YANT</v>
      </c>
      <c r="B439" s="99">
        <f t="shared" si="120"/>
        <v>96</v>
      </c>
      <c r="C439" s="99">
        <f>SUM(ACUMULADO!$AW$15:$AW$20)</f>
        <v>243</v>
      </c>
      <c r="D439" s="153">
        <f t="shared" si="121"/>
        <v>5</v>
      </c>
      <c r="E439" s="99"/>
      <c r="F439" s="138"/>
      <c r="G439" s="133">
        <f t="shared" si="116"/>
        <v>253.125</v>
      </c>
      <c r="H439" s="134">
        <f t="shared" si="117"/>
        <v>253.125</v>
      </c>
      <c r="I439" s="134" t="str">
        <f t="shared" si="118"/>
        <v/>
      </c>
      <c r="J439" s="135" t="str">
        <f t="shared" si="119"/>
        <v/>
      </c>
      <c r="K439" s="48"/>
      <c r="L439" s="48"/>
      <c r="M439" s="48"/>
      <c r="N439" s="48"/>
      <c r="O439" s="48"/>
      <c r="P439" s="48"/>
      <c r="Q439" s="48"/>
      <c r="R439" s="48"/>
      <c r="S439" s="48"/>
      <c r="T439" s="18"/>
      <c r="U439" s="158"/>
      <c r="V439" s="97"/>
      <c r="W439" s="162">
        <v>0</v>
      </c>
      <c r="X439" s="149">
        <v>5</v>
      </c>
      <c r="Y439" s="149">
        <v>5.0999999999999996</v>
      </c>
      <c r="Z439" s="18"/>
    </row>
    <row r="440" spans="1:26" s="159" customFormat="1" ht="18" hidden="1" customHeight="1" x14ac:dyDescent="0.25">
      <c r="A440" s="132" t="str">
        <f>Config!$B$20</f>
        <v>SORI</v>
      </c>
      <c r="B440" s="99">
        <f t="shared" si="120"/>
        <v>325</v>
      </c>
      <c r="C440" s="99">
        <f>SUM(ACUMULADO!$AX$15:$AX$20)</f>
        <v>401</v>
      </c>
      <c r="D440" s="153">
        <f t="shared" si="121"/>
        <v>5</v>
      </c>
      <c r="E440" s="99"/>
      <c r="F440" s="138"/>
      <c r="G440" s="133">
        <f t="shared" si="116"/>
        <v>123.38461538461539</v>
      </c>
      <c r="H440" s="134">
        <f t="shared" si="117"/>
        <v>123.38461538461539</v>
      </c>
      <c r="I440" s="134" t="str">
        <f t="shared" si="118"/>
        <v/>
      </c>
      <c r="J440" s="135" t="str">
        <f t="shared" si="119"/>
        <v/>
      </c>
      <c r="K440" s="48"/>
      <c r="L440" s="48"/>
      <c r="M440" s="48"/>
      <c r="N440" s="48"/>
      <c r="O440" s="48"/>
      <c r="P440" s="48"/>
      <c r="Q440" s="48"/>
      <c r="R440" s="48"/>
      <c r="S440" s="48"/>
      <c r="T440" s="18"/>
      <c r="U440" s="158"/>
      <c r="V440" s="97"/>
      <c r="W440" s="158"/>
      <c r="X440" s="18"/>
      <c r="Y440" s="18"/>
      <c r="Z440" s="18"/>
    </row>
    <row r="441" spans="1:26" s="159" customFormat="1" ht="18" hidden="1" customHeight="1" x14ac:dyDescent="0.25">
      <c r="A441" s="132" t="str">
        <f>Config!$B$21</f>
        <v>JEPE</v>
      </c>
      <c r="B441" s="99">
        <f t="shared" si="120"/>
        <v>140</v>
      </c>
      <c r="C441" s="99">
        <f>SUM(ACUMULADO!$AY$15:$AY$20)</f>
        <v>196</v>
      </c>
      <c r="D441" s="153">
        <f t="shared" si="121"/>
        <v>5</v>
      </c>
      <c r="E441" s="99"/>
      <c r="F441" s="138"/>
      <c r="G441" s="133">
        <f>IFERROR(+C441*100/B441,0)</f>
        <v>140</v>
      </c>
      <c r="H441" s="134">
        <f t="shared" si="117"/>
        <v>140</v>
      </c>
      <c r="I441" s="134" t="str">
        <f t="shared" si="118"/>
        <v/>
      </c>
      <c r="J441" s="135" t="str">
        <f t="shared" si="119"/>
        <v/>
      </c>
      <c r="K441" s="48"/>
      <c r="L441" s="48"/>
      <c r="M441" s="48"/>
      <c r="N441" s="48"/>
      <c r="O441" s="48"/>
      <c r="P441" s="48"/>
      <c r="Q441" s="48"/>
      <c r="R441" s="48"/>
      <c r="S441" s="48"/>
      <c r="T441" s="18"/>
      <c r="U441" s="158"/>
      <c r="V441" s="97"/>
      <c r="W441" s="158"/>
      <c r="X441" s="18"/>
      <c r="Y441" s="18"/>
      <c r="Z441" s="18"/>
    </row>
    <row r="442" spans="1:26" s="159" customFormat="1" ht="18" hidden="1" customHeight="1" x14ac:dyDescent="0.25">
      <c r="A442" s="132" t="str">
        <f>Config!$B$22</f>
        <v>ROQU</v>
      </c>
      <c r="B442" s="99">
        <f t="shared" si="120"/>
        <v>48</v>
      </c>
      <c r="C442" s="99">
        <f>SUM(ACUMULADO!$AZ$15:$AZ$20)</f>
        <v>119</v>
      </c>
      <c r="D442" s="153">
        <f t="shared" si="121"/>
        <v>5</v>
      </c>
      <c r="E442" s="99"/>
      <c r="F442" s="138"/>
      <c r="G442" s="133">
        <f>IFERROR(+C442*100/B442,0)</f>
        <v>247.91666666666666</v>
      </c>
      <c r="H442" s="134">
        <f t="shared" si="117"/>
        <v>247.91666666666666</v>
      </c>
      <c r="I442" s="134" t="str">
        <f t="shared" si="118"/>
        <v/>
      </c>
      <c r="J442" s="135" t="str">
        <f t="shared" si="119"/>
        <v/>
      </c>
      <c r="K442" s="48"/>
      <c r="L442" s="48"/>
      <c r="M442" s="48"/>
      <c r="N442" s="48"/>
      <c r="O442" s="48"/>
      <c r="P442" s="48"/>
      <c r="Q442" s="48"/>
      <c r="R442" s="48"/>
      <c r="S442" s="48"/>
      <c r="T442" s="18"/>
      <c r="U442" s="158"/>
      <c r="V442" s="97"/>
      <c r="W442" s="158"/>
      <c r="X442" s="18"/>
      <c r="Y442" s="18"/>
      <c r="Z442" s="18"/>
    </row>
    <row r="443" spans="1:26" s="159" customFormat="1" ht="18" hidden="1" customHeight="1" x14ac:dyDescent="0.25">
      <c r="A443" s="132" t="str">
        <f>Config!$B$23</f>
        <v>CALZ</v>
      </c>
      <c r="B443" s="99">
        <f t="shared" si="120"/>
        <v>79</v>
      </c>
      <c r="C443" s="99">
        <f>SUM(ACUMULADO!$BA$15:$BA$20)</f>
        <v>141</v>
      </c>
      <c r="D443" s="153">
        <f t="shared" si="121"/>
        <v>5</v>
      </c>
      <c r="E443" s="99"/>
      <c r="F443" s="138"/>
      <c r="G443" s="133">
        <f t="shared" si="116"/>
        <v>178.48101265822785</v>
      </c>
      <c r="H443" s="134">
        <f t="shared" si="117"/>
        <v>178.48101265822785</v>
      </c>
      <c r="I443" s="134" t="str">
        <f t="shared" si="118"/>
        <v/>
      </c>
      <c r="J443" s="135" t="str">
        <f t="shared" si="119"/>
        <v/>
      </c>
      <c r="K443" s="48"/>
      <c r="L443" s="48"/>
      <c r="M443" s="48"/>
      <c r="N443" s="48"/>
      <c r="O443" s="48"/>
      <c r="P443" s="48"/>
      <c r="Q443" s="48"/>
      <c r="R443" s="48"/>
      <c r="S443" s="48"/>
      <c r="T443" s="18"/>
      <c r="U443" s="158"/>
      <c r="V443" s="122"/>
      <c r="W443" s="158"/>
      <c r="X443" s="18"/>
      <c r="Y443" s="18"/>
      <c r="Z443" s="18"/>
    </row>
    <row r="444" spans="1:26" s="159" customFormat="1" ht="18" hidden="1" customHeight="1" x14ac:dyDescent="0.25">
      <c r="A444" s="132" t="str">
        <f>Config!$B$24</f>
        <v>PUEB</v>
      </c>
      <c r="B444" s="99">
        <f t="shared" ref="B444" si="122">D423</f>
        <v>0</v>
      </c>
      <c r="C444" s="99">
        <f>SUM(ACUMULADO!$BA$15:$BA$20)</f>
        <v>141</v>
      </c>
      <c r="D444" s="153">
        <f t="shared" si="121"/>
        <v>5</v>
      </c>
      <c r="E444" s="99"/>
      <c r="F444" s="138"/>
      <c r="G444" s="133">
        <f t="shared" ref="G444" si="123">IFERROR(+C444*100/B444,0)</f>
        <v>0</v>
      </c>
      <c r="H444" s="134" t="str">
        <f t="shared" ref="H444" si="124">IF(G444&gt;=$Y$439,G444,"")</f>
        <v/>
      </c>
      <c r="I444" s="134" t="str">
        <f t="shared" ref="I444" si="125">IF(AND(G444&gt;$W$439, G444&lt;$Y$439),G444,"")</f>
        <v/>
      </c>
      <c r="J444" s="135">
        <f t="shared" ref="J444" si="126">IF(G444&lt;=$W$439,G444,"")</f>
        <v>0</v>
      </c>
      <c r="K444" s="157"/>
      <c r="L444" s="48"/>
      <c r="M444" s="48"/>
      <c r="N444" s="48"/>
      <c r="O444" s="48"/>
      <c r="P444" s="48"/>
      <c r="Q444" s="48"/>
      <c r="R444" s="48"/>
      <c r="S444" s="48"/>
      <c r="T444" s="18"/>
      <c r="U444" s="158"/>
      <c r="V444" s="165"/>
      <c r="W444" s="158"/>
      <c r="X444" s="158"/>
      <c r="Y444" s="158"/>
      <c r="Z444" s="18"/>
    </row>
    <row r="445" spans="1:26" s="159" customFormat="1" ht="18" hidden="1" customHeight="1" x14ac:dyDescent="0.25">
      <c r="A445" s="163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18"/>
      <c r="U445" s="158"/>
      <c r="V445" s="122"/>
      <c r="W445" s="158"/>
      <c r="X445" s="18"/>
      <c r="Y445" s="18"/>
      <c r="Z445" s="18"/>
    </row>
    <row r="446" spans="1:26" s="159" customFormat="1" ht="18" hidden="1" customHeight="1" x14ac:dyDescent="0.25">
      <c r="A446" s="163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18"/>
      <c r="U446" s="158"/>
      <c r="V446" s="122"/>
      <c r="W446" s="158"/>
      <c r="X446" s="18"/>
      <c r="Y446" s="18"/>
      <c r="Z446" s="18"/>
    </row>
    <row r="447" spans="1:26" s="159" customFormat="1" ht="18" hidden="1" customHeight="1" x14ac:dyDescent="0.25">
      <c r="A447" s="163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18"/>
      <c r="U447" s="158"/>
      <c r="V447" s="122"/>
      <c r="W447" s="158"/>
      <c r="X447" s="18"/>
      <c r="Y447" s="18"/>
      <c r="Z447" s="18"/>
    </row>
    <row r="448" spans="1:26" s="159" customFormat="1" ht="18" hidden="1" customHeight="1" x14ac:dyDescent="0.25">
      <c r="A448" s="163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18"/>
      <c r="U448" s="158"/>
      <c r="V448" s="122"/>
      <c r="W448" s="158"/>
      <c r="X448" s="18"/>
      <c r="Y448" s="18"/>
      <c r="Z448" s="18"/>
    </row>
    <row r="449" spans="1:26" s="159" customFormat="1" ht="18" hidden="1" customHeight="1" x14ac:dyDescent="0.25">
      <c r="A449" s="139"/>
      <c r="B449" s="103"/>
      <c r="C449" s="101"/>
      <c r="D449" s="103"/>
      <c r="E449" s="103"/>
      <c r="F449" s="103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18"/>
      <c r="U449" s="158"/>
      <c r="V449" s="105"/>
      <c r="W449" s="158"/>
      <c r="X449" s="18"/>
      <c r="Y449" s="18"/>
      <c r="Z449" s="18"/>
    </row>
    <row r="450" spans="1:26" s="159" customFormat="1" ht="18" hidden="1" customHeight="1" x14ac:dyDescent="0.25">
      <c r="A450" s="139"/>
      <c r="B450" s="103"/>
      <c r="C450" s="101"/>
      <c r="D450" s="103"/>
      <c r="E450" s="103"/>
      <c r="F450" s="103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18"/>
      <c r="U450" s="158"/>
      <c r="V450" s="105"/>
      <c r="W450" s="158"/>
      <c r="X450" s="18"/>
      <c r="Y450" s="18"/>
      <c r="Z450" s="18"/>
    </row>
    <row r="451" spans="1:26" ht="18" hidden="1" customHeight="1" x14ac:dyDescent="0.25">
      <c r="I451" s="48"/>
      <c r="J451" s="48"/>
      <c r="T451" s="18"/>
      <c r="W451" s="98"/>
    </row>
    <row r="452" spans="1:26" ht="18" hidden="1" customHeight="1" x14ac:dyDescent="0.25">
      <c r="H452" s="157"/>
      <c r="I452" s="157"/>
      <c r="J452" s="157"/>
      <c r="K452" s="157"/>
      <c r="T452" s="18"/>
      <c r="W452" s="98"/>
    </row>
    <row r="453" spans="1:26" ht="18" hidden="1" customHeight="1" x14ac:dyDescent="0.25">
      <c r="A453" s="104" t="s">
        <v>202</v>
      </c>
      <c r="H453" s="157"/>
      <c r="I453" s="157"/>
      <c r="J453" s="157"/>
      <c r="K453" s="157"/>
      <c r="T453" s="18"/>
      <c r="U453" s="18"/>
      <c r="V453" s="105"/>
      <c r="Y453" s="149"/>
      <c r="Z453" s="48"/>
    </row>
    <row r="454" spans="1:26" ht="48" hidden="1" customHeight="1" x14ac:dyDescent="0.25">
      <c r="A454" s="107" t="s">
        <v>2</v>
      </c>
      <c r="B454" s="108" t="s">
        <v>192</v>
      </c>
      <c r="C454" s="109" t="s">
        <v>193</v>
      </c>
      <c r="D454" s="108" t="s">
        <v>203</v>
      </c>
      <c r="E454" s="108" t="s">
        <v>201</v>
      </c>
      <c r="F454" s="110"/>
      <c r="G454" s="111" t="s">
        <v>11</v>
      </c>
      <c r="H454" s="112" t="str">
        <f>"ALERTA &gt; "&amp;$Y$459</f>
        <v>ALERTA &gt; 10,1</v>
      </c>
      <c r="I454" s="112" t="str">
        <f>"PROCESO &gt; "&amp;$W$459&amp;"  -  &lt; "&amp;$Y$459</f>
        <v>PROCESO &gt; 5  -  &lt; 10,1</v>
      </c>
      <c r="J454" s="112" t="str">
        <f>"OPTIMO &lt;= "&amp;$W$459</f>
        <v>OPTIMO &lt;= 5</v>
      </c>
      <c r="K454" s="157"/>
      <c r="T454" s="18"/>
      <c r="U454" s="18"/>
      <c r="V454" s="97" t="str">
        <f>A453</f>
        <v>23. CASOS DE NEUMONIAS EN MENORES DE 5 AÑOS</v>
      </c>
      <c r="Y454" s="149"/>
      <c r="Z454" s="48"/>
    </row>
    <row r="455" spans="1:26" ht="18" hidden="1" customHeight="1" thickBot="1" x14ac:dyDescent="0.3">
      <c r="A455" s="118" t="str">
        <f>Config!$B$15</f>
        <v>RED</v>
      </c>
      <c r="B455" s="119">
        <f>SUM(B456:B463)</f>
        <v>11002</v>
      </c>
      <c r="C455" s="119">
        <f>SUM(C456:C463)</f>
        <v>4588</v>
      </c>
      <c r="D455" s="119">
        <f>SUM(D456:D464)</f>
        <v>1771</v>
      </c>
      <c r="E455" s="119">
        <f>$X$439</f>
        <v>5</v>
      </c>
      <c r="F455" s="120"/>
      <c r="G455" s="119">
        <f t="shared" ref="G455:G463" si="127">IFERROR(+D455*100/C455,0)</f>
        <v>38.600697471665214</v>
      </c>
      <c r="H455" s="121">
        <f t="shared" ref="H455:H463" si="128">IF(G455&gt;=$Y$459,G455,"")</f>
        <v>38.600697471665214</v>
      </c>
      <c r="I455" s="121" t="str">
        <f t="shared" ref="I455:I463" si="129">IF(AND(G455&gt;$W$459, G455&lt;$Y$459),G455,"")</f>
        <v/>
      </c>
      <c r="J455" s="119" t="str">
        <f t="shared" ref="J455:J463" si="130">IF(G455&lt;=$W$459,G455,"")</f>
        <v/>
      </c>
      <c r="K455" s="157"/>
      <c r="T455" s="18"/>
      <c r="U455" s="18"/>
      <c r="V455" s="105" t="str">
        <f>$V$1&amp;"  "&amp;V454&amp;"  "&amp;$V$3&amp;"  "&amp;$V$2</f>
        <v>RED. MOYOBAMBA:  23. CASOS DE NEUMONIAS EN MENORES DE 5 AÑOS  - POR MICROREDES :   ENERO - MAYO 2022</v>
      </c>
      <c r="Y455" s="149"/>
      <c r="Z455" s="48"/>
    </row>
    <row r="456" spans="1:26" s="159" customFormat="1" ht="18" hidden="1" customHeight="1" x14ac:dyDescent="0.25">
      <c r="A456" s="126" t="str">
        <f>Config!$B$16</f>
        <v>HOSP</v>
      </c>
      <c r="B456" s="127">
        <f t="shared" ref="B456:B463" si="131">B415</f>
        <v>0</v>
      </c>
      <c r="C456" s="127">
        <f>ROUNDUP((B456/12)*Config!$C$6,0)</f>
        <v>0</v>
      </c>
      <c r="D456" s="127">
        <f>SUM(ACUMULADO!$AT$21:$AT$22)</f>
        <v>0</v>
      </c>
      <c r="E456" s="153">
        <f>E455</f>
        <v>5</v>
      </c>
      <c r="F456" s="128"/>
      <c r="G456" s="129">
        <f t="shared" si="127"/>
        <v>0</v>
      </c>
      <c r="H456" s="130" t="str">
        <f t="shared" si="128"/>
        <v/>
      </c>
      <c r="I456" s="130" t="str">
        <f t="shared" si="129"/>
        <v/>
      </c>
      <c r="J456" s="131">
        <f t="shared" si="130"/>
        <v>0</v>
      </c>
      <c r="K456" s="157"/>
      <c r="L456" s="48"/>
      <c r="M456" s="48"/>
      <c r="N456" s="48"/>
      <c r="O456" s="48"/>
      <c r="P456" s="48"/>
      <c r="Q456" s="48"/>
      <c r="R456" s="48"/>
      <c r="S456" s="48"/>
      <c r="T456" s="18"/>
      <c r="U456" s="18"/>
      <c r="V456" s="97"/>
      <c r="W456" s="18"/>
      <c r="X456" s="18"/>
      <c r="Y456" s="18"/>
      <c r="Z456" s="149"/>
    </row>
    <row r="457" spans="1:26" s="159" customFormat="1" ht="18" hidden="1" customHeight="1" x14ac:dyDescent="0.25">
      <c r="A457" s="132" t="str">
        <f>Config!$B$17</f>
        <v>LLUI</v>
      </c>
      <c r="B457" s="99">
        <f t="shared" si="131"/>
        <v>4795</v>
      </c>
      <c r="C457" s="99">
        <f>ROUNDUP((B457/12)*Config!$C$6,0)</f>
        <v>1998</v>
      </c>
      <c r="D457" s="99">
        <f>SUM(ACUMULADO!$AU$21:$AU$22)</f>
        <v>922</v>
      </c>
      <c r="E457" s="153">
        <f t="shared" ref="E457:E463" si="132">E456</f>
        <v>5</v>
      </c>
      <c r="F457" s="138"/>
      <c r="G457" s="133">
        <f t="shared" si="127"/>
        <v>46.146146146146144</v>
      </c>
      <c r="H457" s="134">
        <f t="shared" si="128"/>
        <v>46.146146146146144</v>
      </c>
      <c r="I457" s="134" t="str">
        <f t="shared" si="129"/>
        <v/>
      </c>
      <c r="J457" s="135" t="str">
        <f t="shared" si="130"/>
        <v/>
      </c>
      <c r="K457" s="48"/>
      <c r="L457" s="48"/>
      <c r="M457" s="48"/>
      <c r="N457" s="48"/>
      <c r="O457" s="48"/>
      <c r="P457" s="48"/>
      <c r="Q457" s="48"/>
      <c r="R457" s="48"/>
      <c r="S457" s="48"/>
      <c r="T457" s="18"/>
      <c r="U457" s="18"/>
      <c r="V457" s="97"/>
      <c r="W457" s="18"/>
      <c r="X457" s="18"/>
      <c r="Y457" s="18"/>
      <c r="Z457" s="149"/>
    </row>
    <row r="458" spans="1:26" s="159" customFormat="1" ht="18" hidden="1" customHeight="1" x14ac:dyDescent="0.25">
      <c r="A458" s="132" t="str">
        <f>Config!$B$18</f>
        <v>JERI</v>
      </c>
      <c r="B458" s="99">
        <f t="shared" si="131"/>
        <v>473</v>
      </c>
      <c r="C458" s="99">
        <f>ROUNDUP((B458/12)*Config!$C$6,0)</f>
        <v>198</v>
      </c>
      <c r="D458" s="99">
        <f>SUM(ACUMULADO!$AV$21:$AV$22)</f>
        <v>96</v>
      </c>
      <c r="E458" s="153">
        <f t="shared" si="132"/>
        <v>5</v>
      </c>
      <c r="F458" s="138"/>
      <c r="G458" s="133">
        <f t="shared" si="127"/>
        <v>48.484848484848484</v>
      </c>
      <c r="H458" s="134">
        <f t="shared" si="128"/>
        <v>48.484848484848484</v>
      </c>
      <c r="I458" s="134" t="str">
        <f t="shared" si="129"/>
        <v/>
      </c>
      <c r="J458" s="135" t="str">
        <f t="shared" si="130"/>
        <v/>
      </c>
      <c r="K458" s="48"/>
      <c r="L458" s="48"/>
      <c r="M458" s="48"/>
      <c r="N458" s="48"/>
      <c r="O458" s="48"/>
      <c r="P458" s="48"/>
      <c r="Q458" s="48"/>
      <c r="R458" s="48"/>
      <c r="S458" s="48"/>
      <c r="T458" s="18"/>
      <c r="U458" s="18"/>
      <c r="V458" s="97"/>
      <c r="W458" s="18" t="s">
        <v>204</v>
      </c>
      <c r="X458" s="18" t="s">
        <v>197</v>
      </c>
      <c r="Y458" s="18" t="s">
        <v>198</v>
      </c>
      <c r="Z458" s="149"/>
    </row>
    <row r="459" spans="1:26" s="159" customFormat="1" ht="18" hidden="1" customHeight="1" x14ac:dyDescent="0.25">
      <c r="A459" s="132" t="str">
        <f>Config!$B$19</f>
        <v>YANT</v>
      </c>
      <c r="B459" s="99">
        <f t="shared" si="131"/>
        <v>726</v>
      </c>
      <c r="C459" s="99">
        <f>ROUNDUP((B459/12)*Config!$C$6,0)</f>
        <v>303</v>
      </c>
      <c r="D459" s="99">
        <f>SUM(ACUMULADO!$AW$21:$AW$22)</f>
        <v>150</v>
      </c>
      <c r="E459" s="153">
        <f t="shared" si="132"/>
        <v>5</v>
      </c>
      <c r="F459" s="138"/>
      <c r="G459" s="133">
        <f t="shared" si="127"/>
        <v>49.504950495049506</v>
      </c>
      <c r="H459" s="134">
        <f t="shared" si="128"/>
        <v>49.504950495049506</v>
      </c>
      <c r="I459" s="134" t="str">
        <f t="shared" si="129"/>
        <v/>
      </c>
      <c r="J459" s="135" t="str">
        <f t="shared" si="130"/>
        <v/>
      </c>
      <c r="K459" s="48"/>
      <c r="L459" s="48"/>
      <c r="M459" s="48"/>
      <c r="N459" s="48"/>
      <c r="O459" s="48"/>
      <c r="P459" s="48"/>
      <c r="Q459" s="48"/>
      <c r="R459" s="48"/>
      <c r="S459" s="48"/>
      <c r="T459" s="18"/>
      <c r="U459" s="158"/>
      <c r="V459" s="97"/>
      <c r="W459" s="18">
        <v>5</v>
      </c>
      <c r="X459" s="18">
        <v>10</v>
      </c>
      <c r="Y459" s="18">
        <v>10.1</v>
      </c>
      <c r="Z459" s="149"/>
    </row>
    <row r="460" spans="1:26" s="159" customFormat="1" ht="18" hidden="1" customHeight="1" x14ac:dyDescent="0.25">
      <c r="A460" s="132" t="str">
        <f>Config!$B$20</f>
        <v>SORI</v>
      </c>
      <c r="B460" s="99">
        <f t="shared" si="131"/>
        <v>2482</v>
      </c>
      <c r="C460" s="99">
        <f>ROUNDUP((B460/12)*Config!$C$6,0)</f>
        <v>1035</v>
      </c>
      <c r="D460" s="99">
        <f>SUM(ACUMULADO!$AX$21:$AX$22)</f>
        <v>3</v>
      </c>
      <c r="E460" s="153">
        <f t="shared" si="132"/>
        <v>5</v>
      </c>
      <c r="F460" s="138"/>
      <c r="G460" s="133">
        <f t="shared" si="127"/>
        <v>0.28985507246376813</v>
      </c>
      <c r="H460" s="134" t="str">
        <f t="shared" si="128"/>
        <v/>
      </c>
      <c r="I460" s="134" t="str">
        <f t="shared" si="129"/>
        <v/>
      </c>
      <c r="J460" s="135">
        <f t="shared" si="130"/>
        <v>0.28985507246376813</v>
      </c>
      <c r="K460" s="48"/>
      <c r="L460" s="48"/>
      <c r="M460" s="48"/>
      <c r="N460" s="48"/>
      <c r="O460" s="48"/>
      <c r="P460" s="48"/>
      <c r="Q460" s="48"/>
      <c r="R460" s="48"/>
      <c r="S460" s="48"/>
      <c r="T460" s="18"/>
      <c r="U460" s="158"/>
      <c r="V460" s="97"/>
      <c r="W460" s="18"/>
      <c r="X460" s="18"/>
      <c r="Y460" s="18"/>
      <c r="Z460" s="149"/>
    </row>
    <row r="461" spans="1:26" s="159" customFormat="1" ht="18" hidden="1" customHeight="1" x14ac:dyDescent="0.25">
      <c r="A461" s="132" t="str">
        <f>Config!$B$21</f>
        <v>JEPE</v>
      </c>
      <c r="B461" s="99">
        <f t="shared" si="131"/>
        <v>1160</v>
      </c>
      <c r="C461" s="99">
        <f>ROUNDUP((B461/12)*Config!$C$6,0)</f>
        <v>484</v>
      </c>
      <c r="D461" s="99">
        <f>SUM(ACUMULADO!$AY$21:$AY$22)</f>
        <v>303</v>
      </c>
      <c r="E461" s="153">
        <f t="shared" si="132"/>
        <v>5</v>
      </c>
      <c r="F461" s="138"/>
      <c r="G461" s="133">
        <f>IFERROR(+D461*100/C461,0)</f>
        <v>62.603305785123965</v>
      </c>
      <c r="H461" s="134">
        <f t="shared" si="128"/>
        <v>62.603305785123965</v>
      </c>
      <c r="I461" s="134" t="str">
        <f t="shared" si="129"/>
        <v/>
      </c>
      <c r="J461" s="135" t="str">
        <f t="shared" si="130"/>
        <v/>
      </c>
      <c r="K461" s="48"/>
      <c r="L461" s="48"/>
      <c r="M461" s="48"/>
      <c r="N461" s="48"/>
      <c r="O461" s="48"/>
      <c r="P461" s="48"/>
      <c r="Q461" s="48"/>
      <c r="R461" s="48"/>
      <c r="S461" s="48"/>
      <c r="T461" s="18"/>
      <c r="U461" s="18"/>
      <c r="V461" s="97"/>
      <c r="W461" s="18"/>
      <c r="X461" s="18"/>
      <c r="Y461" s="18"/>
      <c r="Z461" s="149"/>
    </row>
    <row r="462" spans="1:26" s="159" customFormat="1" ht="18" hidden="1" customHeight="1" x14ac:dyDescent="0.25">
      <c r="A462" s="132" t="str">
        <f>Config!$B$22</f>
        <v>ROQU</v>
      </c>
      <c r="B462" s="99">
        <f t="shared" si="131"/>
        <v>813</v>
      </c>
      <c r="C462" s="99">
        <f>ROUNDUP((B462/12)*Config!$C$6,0)</f>
        <v>339</v>
      </c>
      <c r="D462" s="99">
        <f>SUM(ACUMULADO!$AZ$21:$AZ$22)</f>
        <v>148</v>
      </c>
      <c r="E462" s="153">
        <f t="shared" si="132"/>
        <v>5</v>
      </c>
      <c r="F462" s="138"/>
      <c r="G462" s="133">
        <f>IFERROR(+D462*100/C462,0)</f>
        <v>43.657817109144545</v>
      </c>
      <c r="H462" s="134">
        <f t="shared" si="128"/>
        <v>43.657817109144545</v>
      </c>
      <c r="I462" s="134" t="str">
        <f t="shared" si="129"/>
        <v/>
      </c>
      <c r="J462" s="135" t="str">
        <f t="shared" si="130"/>
        <v/>
      </c>
      <c r="K462" s="48"/>
      <c r="L462" s="48"/>
      <c r="M462" s="48"/>
      <c r="N462" s="48"/>
      <c r="O462" s="48"/>
      <c r="P462" s="48"/>
      <c r="Q462" s="48"/>
      <c r="R462" s="48"/>
      <c r="S462" s="48"/>
      <c r="T462" s="18"/>
      <c r="U462" s="18"/>
      <c r="V462" s="97"/>
      <c r="W462" s="18"/>
      <c r="X462" s="18"/>
      <c r="Y462" s="18"/>
      <c r="Z462" s="149"/>
    </row>
    <row r="463" spans="1:26" s="159" customFormat="1" ht="18" hidden="1" customHeight="1" x14ac:dyDescent="0.25">
      <c r="A463" s="132" t="str">
        <f>Config!$B$23</f>
        <v>CALZ</v>
      </c>
      <c r="B463" s="99">
        <f t="shared" si="131"/>
        <v>553</v>
      </c>
      <c r="C463" s="99">
        <f>ROUNDUP((B463/12)*Config!$C$6,0)</f>
        <v>231</v>
      </c>
      <c r="D463" s="99">
        <f>SUM(ACUMULADO!$BA$21:$BA$22)</f>
        <v>149</v>
      </c>
      <c r="E463" s="153">
        <f t="shared" si="132"/>
        <v>5</v>
      </c>
      <c r="F463" s="138"/>
      <c r="G463" s="133">
        <f t="shared" si="127"/>
        <v>64.502164502164504</v>
      </c>
      <c r="H463" s="134">
        <f t="shared" si="128"/>
        <v>64.502164502164504</v>
      </c>
      <c r="I463" s="134" t="str">
        <f t="shared" si="129"/>
        <v/>
      </c>
      <c r="J463" s="135" t="str">
        <f t="shared" si="130"/>
        <v/>
      </c>
      <c r="K463" s="48"/>
      <c r="L463" s="48"/>
      <c r="M463" s="48"/>
      <c r="N463" s="48"/>
      <c r="O463" s="48"/>
      <c r="P463" s="48"/>
      <c r="Q463" s="48"/>
      <c r="R463" s="48"/>
      <c r="S463" s="48"/>
      <c r="T463" s="18"/>
      <c r="U463" s="158"/>
      <c r="V463" s="97"/>
      <c r="W463" s="18"/>
      <c r="X463" s="18"/>
      <c r="Y463" s="18"/>
      <c r="Z463" s="149"/>
    </row>
    <row r="464" spans="1:26" s="159" customFormat="1" ht="18" hidden="1" customHeight="1" x14ac:dyDescent="0.25">
      <c r="A464" s="132" t="str">
        <f>Config!$B$24</f>
        <v>PUEB</v>
      </c>
      <c r="B464" s="99"/>
      <c r="C464" s="99"/>
      <c r="D464" s="99"/>
      <c r="E464" s="99"/>
      <c r="F464" s="138"/>
      <c r="G464" s="133"/>
      <c r="H464" s="134"/>
      <c r="I464" s="134"/>
      <c r="J464" s="135"/>
      <c r="K464" s="157"/>
      <c r="L464" s="48"/>
      <c r="M464" s="48"/>
      <c r="N464" s="48"/>
      <c r="O464" s="48"/>
      <c r="P464" s="48"/>
      <c r="Q464" s="48"/>
      <c r="R464" s="48"/>
      <c r="S464" s="48"/>
      <c r="T464" s="18"/>
      <c r="U464" s="158"/>
      <c r="V464" s="97"/>
      <c r="X464" s="48"/>
      <c r="Y464" s="48"/>
      <c r="Z464" s="48"/>
    </row>
    <row r="465" spans="1:26" s="159" customFormat="1" ht="18" hidden="1" customHeight="1" x14ac:dyDescent="0.25">
      <c r="A465" s="163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18"/>
      <c r="U465" s="158"/>
      <c r="V465" s="122"/>
      <c r="W465" s="158"/>
      <c r="X465" s="18"/>
      <c r="Y465" s="18"/>
      <c r="Z465" s="18"/>
    </row>
    <row r="466" spans="1:26" s="159" customFormat="1" ht="18" hidden="1" customHeight="1" x14ac:dyDescent="0.25">
      <c r="A466" s="163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18"/>
      <c r="U466" s="158"/>
      <c r="V466" s="122"/>
      <c r="W466" s="158"/>
      <c r="X466" s="18"/>
      <c r="Y466" s="18"/>
      <c r="Z466" s="18"/>
    </row>
    <row r="467" spans="1:26" s="159" customFormat="1" ht="18" hidden="1" customHeight="1" x14ac:dyDescent="0.25">
      <c r="A467" s="163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18"/>
      <c r="U467" s="158"/>
      <c r="V467" s="122"/>
      <c r="W467" s="158"/>
      <c r="X467" s="18"/>
      <c r="Y467" s="18"/>
      <c r="Z467" s="18"/>
    </row>
    <row r="468" spans="1:26" s="159" customFormat="1" ht="18" hidden="1" customHeight="1" x14ac:dyDescent="0.25">
      <c r="A468" s="163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18"/>
      <c r="U468" s="158"/>
      <c r="V468" s="122"/>
      <c r="W468" s="158"/>
      <c r="X468" s="18"/>
      <c r="Y468" s="18"/>
      <c r="Z468" s="18"/>
    </row>
    <row r="469" spans="1:26" s="159" customFormat="1" ht="18" hidden="1" customHeight="1" x14ac:dyDescent="0.25">
      <c r="A469" s="139"/>
      <c r="B469" s="103"/>
      <c r="C469" s="101"/>
      <c r="D469" s="103"/>
      <c r="E469" s="103"/>
      <c r="F469" s="103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18"/>
      <c r="U469" s="158"/>
      <c r="V469" s="122"/>
      <c r="W469" s="158"/>
      <c r="X469" s="18"/>
      <c r="Y469" s="18"/>
      <c r="Z469" s="18"/>
    </row>
    <row r="470" spans="1:26" s="159" customFormat="1" ht="18" hidden="1" customHeight="1" x14ac:dyDescent="0.25">
      <c r="A470" s="139"/>
      <c r="B470" s="103"/>
      <c r="C470" s="101"/>
      <c r="D470" s="103"/>
      <c r="E470" s="103"/>
      <c r="F470" s="103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18"/>
      <c r="U470" s="158"/>
      <c r="V470" s="122"/>
      <c r="W470" s="158"/>
      <c r="X470" s="18"/>
      <c r="Y470" s="18"/>
      <c r="Z470" s="18"/>
    </row>
    <row r="471" spans="1:26" s="159" customFormat="1" ht="18" hidden="1" customHeight="1" x14ac:dyDescent="0.25">
      <c r="A471" s="139"/>
      <c r="B471" s="103"/>
      <c r="C471" s="101"/>
      <c r="D471" s="103"/>
      <c r="E471" s="103"/>
      <c r="F471" s="103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18"/>
      <c r="U471" s="158"/>
      <c r="V471" s="122"/>
      <c r="W471" s="158"/>
      <c r="X471" s="18"/>
      <c r="Y471" s="18"/>
      <c r="Z471" s="18"/>
    </row>
    <row r="472" spans="1:26" ht="18" hidden="1" customHeight="1" x14ac:dyDescent="0.25">
      <c r="I472" s="48"/>
      <c r="J472" s="48"/>
      <c r="T472" s="18"/>
      <c r="W472" s="98"/>
    </row>
    <row r="473" spans="1:26" ht="18" hidden="1" customHeight="1" x14ac:dyDescent="0.25">
      <c r="A473" s="104" t="s">
        <v>205</v>
      </c>
      <c r="H473" s="157"/>
      <c r="I473" s="157"/>
      <c r="J473" s="157"/>
      <c r="K473" s="157"/>
      <c r="T473" s="18"/>
      <c r="V473" s="122" t="s">
        <v>206</v>
      </c>
      <c r="W473" s="98"/>
    </row>
    <row r="474" spans="1:26" ht="48" hidden="1" customHeight="1" thickBot="1" x14ac:dyDescent="0.25">
      <c r="A474" s="166" t="s">
        <v>2</v>
      </c>
      <c r="B474" s="167" t="s">
        <v>203</v>
      </c>
      <c r="C474" s="167" t="s">
        <v>207</v>
      </c>
      <c r="D474" s="168" t="s">
        <v>201</v>
      </c>
      <c r="E474" s="169"/>
      <c r="F474" s="169"/>
      <c r="G474" s="169" t="s">
        <v>11</v>
      </c>
      <c r="H474" s="170" t="str">
        <f>"ALERTA &gt; "&amp;$Y$439</f>
        <v>ALERTA &gt; 5,1</v>
      </c>
      <c r="I474" s="170" t="str">
        <f>"PROCESO &gt; "&amp;$W$439&amp;"  -  &lt; "&amp;$Y$439</f>
        <v>PROCESO &gt; 0  -  &lt; 5,1</v>
      </c>
      <c r="J474" s="170" t="s">
        <v>208</v>
      </c>
      <c r="K474" s="157"/>
      <c r="T474" s="18"/>
      <c r="V474" s="105" t="str">
        <f>$V$1&amp;"  "&amp;V473&amp;"  "&amp;$V$3&amp;"  "&amp;$V$2</f>
        <v>RED. MOYOBAMBA:  CASOS DE NEUMONIAS COMPLICADAS EN MENORES DE 5 AÑOS  - POR MICROREDES :   ENERO - MAYO 2022</v>
      </c>
      <c r="Z474" s="149"/>
    </row>
    <row r="475" spans="1:26" ht="18" hidden="1" customHeight="1" thickBot="1" x14ac:dyDescent="0.3">
      <c r="A475" s="171" t="str">
        <f>Config!$B$15</f>
        <v>RED</v>
      </c>
      <c r="B475" s="55">
        <f>SUM(B476:B483)</f>
        <v>1771</v>
      </c>
      <c r="C475" s="55">
        <f>SUM(C476:C484)</f>
        <v>1250</v>
      </c>
      <c r="D475" s="55">
        <f>$X$478</f>
        <v>10</v>
      </c>
      <c r="E475" s="55"/>
      <c r="F475" s="55"/>
      <c r="G475" s="55">
        <f t="shared" ref="G475:G483" si="133">IFERROR(+C475*100/B475,0)</f>
        <v>70.581592320722748</v>
      </c>
      <c r="H475" s="55">
        <f t="shared" ref="H475:H483" si="134">IF(G475&gt;=$Y$478,G475,"")</f>
        <v>70.581592320722748</v>
      </c>
      <c r="I475" s="55" t="str">
        <f t="shared" ref="I475:I483" si="135">IF(AND(G475&gt;$W$478, G475&lt;$Y$478),G475,"")</f>
        <v/>
      </c>
      <c r="J475" s="55" t="str">
        <f t="shared" ref="J475:J483" si="136">IF(G475&lt;=$W$478,G475,"")</f>
        <v/>
      </c>
      <c r="K475" s="157"/>
      <c r="T475" s="18"/>
      <c r="V475" s="105"/>
      <c r="Z475" s="149"/>
    </row>
    <row r="476" spans="1:26" s="159" customFormat="1" ht="18" hidden="1" customHeight="1" x14ac:dyDescent="0.25">
      <c r="A476" s="172" t="str">
        <f>Config!$B$16</f>
        <v>HOSP</v>
      </c>
      <c r="B476" s="173">
        <f t="shared" ref="B476:B483" si="137">D456</f>
        <v>0</v>
      </c>
      <c r="C476" s="173">
        <f>ACUMULADO!$AT$22</f>
        <v>0</v>
      </c>
      <c r="D476" s="174">
        <f>D475</f>
        <v>10</v>
      </c>
      <c r="E476" s="175"/>
      <c r="F476" s="175"/>
      <c r="G476" s="175">
        <f t="shared" si="133"/>
        <v>0</v>
      </c>
      <c r="H476" s="176" t="str">
        <f t="shared" si="134"/>
        <v/>
      </c>
      <c r="I476" s="176" t="str">
        <f t="shared" si="135"/>
        <v/>
      </c>
      <c r="J476" s="176">
        <f t="shared" si="136"/>
        <v>0</v>
      </c>
      <c r="K476" s="157"/>
      <c r="L476" s="48"/>
      <c r="M476" s="48"/>
      <c r="N476" s="48"/>
      <c r="O476" s="48"/>
      <c r="P476" s="48"/>
      <c r="Q476" s="48"/>
      <c r="R476" s="48"/>
      <c r="S476" s="48"/>
      <c r="T476" s="18"/>
      <c r="U476" s="158"/>
      <c r="V476" s="105" t="str">
        <f>"El gráfico muestra el avance en %,con resultado "&amp;(V482)&amp;", donde la población a trabajar es de "&amp;ROUNDUP(B475,0)&amp;" niños, que son los casos identificados con neumonia ,encontrando un total de "&amp;C475&amp;" niños complicados, donde el objetivo es no tener CASOS."</f>
        <v>El gráfico muestra el avance en %,con resultado ALERTA, donde la población a trabajar es de 1771 niños, que son los casos identificados con neumonia ,encontrando un total de 1250 niños complicados, donde el objetivo es no tener CASOS.</v>
      </c>
      <c r="W476" s="18"/>
      <c r="X476" s="18"/>
      <c r="Y476" s="18"/>
      <c r="Z476" s="149"/>
    </row>
    <row r="477" spans="1:26" s="159" customFormat="1" ht="18" hidden="1" customHeight="1" x14ac:dyDescent="0.25">
      <c r="A477" s="172" t="str">
        <f>Config!$B$17</f>
        <v>LLUI</v>
      </c>
      <c r="B477" s="173">
        <f t="shared" si="137"/>
        <v>922</v>
      </c>
      <c r="C477" s="173">
        <f>ACUMULADO!$AU$22</f>
        <v>646</v>
      </c>
      <c r="D477" s="174">
        <f>D482</f>
        <v>10</v>
      </c>
      <c r="E477" s="175"/>
      <c r="F477" s="175"/>
      <c r="G477" s="175">
        <f t="shared" si="133"/>
        <v>70.0650759219089</v>
      </c>
      <c r="H477" s="176">
        <f t="shared" si="134"/>
        <v>70.0650759219089</v>
      </c>
      <c r="I477" s="176" t="str">
        <f t="shared" si="135"/>
        <v/>
      </c>
      <c r="J477" s="176" t="str">
        <f t="shared" si="136"/>
        <v/>
      </c>
      <c r="K477" s="48"/>
      <c r="L477" s="48"/>
      <c r="M477" s="48"/>
      <c r="N477" s="48"/>
      <c r="O477" s="48"/>
      <c r="P477" s="48"/>
      <c r="Q477" s="48"/>
      <c r="R477" s="48"/>
      <c r="S477" s="48"/>
      <c r="T477" s="18"/>
      <c r="U477" s="158"/>
      <c r="V477" s="105"/>
      <c r="W477" s="18"/>
      <c r="X477" s="18"/>
      <c r="Y477" s="18"/>
      <c r="Z477" s="149"/>
    </row>
    <row r="478" spans="1:26" s="159" customFormat="1" ht="18" hidden="1" customHeight="1" x14ac:dyDescent="0.25">
      <c r="A478" s="172" t="str">
        <f>Config!$B$18</f>
        <v>JERI</v>
      </c>
      <c r="B478" s="173">
        <f t="shared" si="137"/>
        <v>96</v>
      </c>
      <c r="C478" s="173">
        <f>ACUMULADO!$AV$22</f>
        <v>83</v>
      </c>
      <c r="D478" s="174">
        <f>D481</f>
        <v>10</v>
      </c>
      <c r="E478" s="175"/>
      <c r="F478" s="175"/>
      <c r="G478" s="175">
        <f t="shared" si="133"/>
        <v>86.458333333333329</v>
      </c>
      <c r="H478" s="176">
        <f t="shared" si="134"/>
        <v>86.458333333333329</v>
      </c>
      <c r="I478" s="176" t="str">
        <f t="shared" si="135"/>
        <v/>
      </c>
      <c r="J478" s="176" t="str">
        <f t="shared" si="136"/>
        <v/>
      </c>
      <c r="K478" s="48"/>
      <c r="L478" s="48"/>
      <c r="M478" s="48"/>
      <c r="N478" s="48"/>
      <c r="O478" s="48"/>
      <c r="P478" s="48"/>
      <c r="Q478" s="48"/>
      <c r="R478" s="48"/>
      <c r="S478" s="48"/>
      <c r="T478" s="18"/>
      <c r="U478" s="158"/>
      <c r="V478" s="105"/>
      <c r="W478" s="18">
        <v>0</v>
      </c>
      <c r="X478" s="18">
        <v>10</v>
      </c>
      <c r="Y478" s="18">
        <v>10.1</v>
      </c>
      <c r="Z478" s="149"/>
    </row>
    <row r="479" spans="1:26" s="159" customFormat="1" ht="18" hidden="1" customHeight="1" x14ac:dyDescent="0.25">
      <c r="A479" s="172" t="str">
        <f>Config!$B$19</f>
        <v>YANT</v>
      </c>
      <c r="B479" s="173">
        <f t="shared" si="137"/>
        <v>150</v>
      </c>
      <c r="C479" s="173">
        <f>ACUMULADO!$AW$22</f>
        <v>114</v>
      </c>
      <c r="D479" s="174">
        <f t="shared" ref="D479:D480" si="138">D478</f>
        <v>10</v>
      </c>
      <c r="E479" s="175"/>
      <c r="F479" s="175"/>
      <c r="G479" s="175">
        <f t="shared" si="133"/>
        <v>76</v>
      </c>
      <c r="H479" s="176">
        <f t="shared" si="134"/>
        <v>76</v>
      </c>
      <c r="I479" s="176" t="str">
        <f t="shared" si="135"/>
        <v/>
      </c>
      <c r="J479" s="176" t="str">
        <f t="shared" si="136"/>
        <v/>
      </c>
      <c r="K479" s="48"/>
      <c r="L479" s="48"/>
      <c r="M479" s="48"/>
      <c r="N479" s="48"/>
      <c r="O479" s="48"/>
      <c r="P479" s="48"/>
      <c r="Q479" s="48"/>
      <c r="R479" s="48"/>
      <c r="S479" s="48"/>
      <c r="T479" s="18"/>
      <c r="U479" s="158"/>
      <c r="V479" s="105"/>
      <c r="W479" s="18"/>
      <c r="X479" s="18"/>
      <c r="Y479" s="18"/>
      <c r="Z479" s="149"/>
    </row>
    <row r="480" spans="1:26" s="159" customFormat="1" ht="18" hidden="1" customHeight="1" x14ac:dyDescent="0.25">
      <c r="A480" s="172" t="str">
        <f>Config!$B$20</f>
        <v>SORI</v>
      </c>
      <c r="B480" s="173">
        <f t="shared" si="137"/>
        <v>3</v>
      </c>
      <c r="C480" s="173">
        <f>ACUMULADO!$AX$22</f>
        <v>3</v>
      </c>
      <c r="D480" s="174">
        <f t="shared" si="138"/>
        <v>10</v>
      </c>
      <c r="E480" s="175"/>
      <c r="F480" s="175"/>
      <c r="G480" s="175">
        <f t="shared" si="133"/>
        <v>100</v>
      </c>
      <c r="H480" s="176">
        <f t="shared" si="134"/>
        <v>100</v>
      </c>
      <c r="I480" s="176" t="str">
        <f t="shared" si="135"/>
        <v/>
      </c>
      <c r="J480" s="176" t="str">
        <f t="shared" si="136"/>
        <v/>
      </c>
      <c r="K480" s="48"/>
      <c r="L480" s="48"/>
      <c r="M480" s="48"/>
      <c r="N480" s="48"/>
      <c r="O480" s="48"/>
      <c r="P480" s="48"/>
      <c r="Q480" s="48"/>
      <c r="R480" s="48"/>
      <c r="S480" s="48"/>
      <c r="T480" s="18"/>
      <c r="U480" s="158"/>
      <c r="V480" s="122"/>
      <c r="X480" s="48"/>
      <c r="Y480" s="48"/>
      <c r="Z480" s="18"/>
    </row>
    <row r="481" spans="1:26" s="159" customFormat="1" ht="18" hidden="1" customHeight="1" x14ac:dyDescent="0.25">
      <c r="A481" s="172" t="str">
        <f>Config!$B$21</f>
        <v>JEPE</v>
      </c>
      <c r="B481" s="173">
        <f t="shared" si="137"/>
        <v>303</v>
      </c>
      <c r="C481" s="173">
        <f>ACUMULADO!$AY$22</f>
        <v>215</v>
      </c>
      <c r="D481" s="174">
        <f>D477</f>
        <v>10</v>
      </c>
      <c r="E481" s="175"/>
      <c r="F481" s="175"/>
      <c r="G481" s="175">
        <f>IFERROR(+C481*100/B481,0)</f>
        <v>70.95709570957095</v>
      </c>
      <c r="H481" s="176">
        <f t="shared" si="134"/>
        <v>70.95709570957095</v>
      </c>
      <c r="I481" s="176" t="str">
        <f t="shared" si="135"/>
        <v/>
      </c>
      <c r="J481" s="176" t="str">
        <f t="shared" si="136"/>
        <v/>
      </c>
      <c r="K481" s="48"/>
      <c r="L481" s="48"/>
      <c r="M481" s="48"/>
      <c r="N481" s="48"/>
      <c r="O481" s="48"/>
      <c r="P481" s="48"/>
      <c r="Q481" s="48"/>
      <c r="R481" s="48"/>
      <c r="S481" s="48"/>
      <c r="T481" s="18"/>
      <c r="U481" s="158"/>
      <c r="V481" s="105"/>
      <c r="W481" s="18" t="s">
        <v>204</v>
      </c>
      <c r="X481" s="18" t="s">
        <v>197</v>
      </c>
      <c r="Y481" s="18" t="s">
        <v>198</v>
      </c>
      <c r="Z481" s="149"/>
    </row>
    <row r="482" spans="1:26" s="159" customFormat="1" ht="18" hidden="1" customHeight="1" x14ac:dyDescent="0.25">
      <c r="A482" s="172" t="str">
        <f>Config!$B$22</f>
        <v>ROQU</v>
      </c>
      <c r="B482" s="173">
        <f t="shared" si="137"/>
        <v>148</v>
      </c>
      <c r="C482" s="173">
        <f>ACUMULADO!$AZ$22</f>
        <v>93</v>
      </c>
      <c r="D482" s="174">
        <f>D476</f>
        <v>10</v>
      </c>
      <c r="E482" s="175"/>
      <c r="F482" s="175"/>
      <c r="G482" s="175">
        <f>IFERROR(+C482*100/B482,0)</f>
        <v>62.837837837837839</v>
      </c>
      <c r="H482" s="176">
        <f t="shared" si="134"/>
        <v>62.837837837837839</v>
      </c>
      <c r="I482" s="176" t="str">
        <f t="shared" si="135"/>
        <v/>
      </c>
      <c r="J482" s="176" t="str">
        <f t="shared" si="136"/>
        <v/>
      </c>
      <c r="K482" s="157"/>
      <c r="L482" s="48"/>
      <c r="M482" s="48"/>
      <c r="N482" s="48"/>
      <c r="O482" s="48"/>
      <c r="P482" s="48"/>
      <c r="Q482" s="48"/>
      <c r="R482" s="48"/>
      <c r="S482" s="48"/>
      <c r="T482" s="18"/>
      <c r="U482" s="158"/>
      <c r="V482" s="105" t="str">
        <f>IF(G475&lt;=$W$478,"OPTIMO SIN EDAS COMPLICADAS",IF(G475&gt;=$Y$478,"ALERTA",IF(G475&gt;$W$478,IF(G475&lt;$Y$478,"en PROCESO",""))))</f>
        <v>ALERTA</v>
      </c>
      <c r="W482" s="18"/>
      <c r="X482" s="18"/>
      <c r="Y482" s="18"/>
      <c r="Z482" s="149"/>
    </row>
    <row r="483" spans="1:26" s="159" customFormat="1" ht="18" hidden="1" customHeight="1" x14ac:dyDescent="0.25">
      <c r="A483" s="172" t="str">
        <f>Config!$B$23</f>
        <v>CALZ</v>
      </c>
      <c r="B483" s="173">
        <f t="shared" si="137"/>
        <v>149</v>
      </c>
      <c r="C483" s="173">
        <f>ACUMULADO!$BA$22</f>
        <v>96</v>
      </c>
      <c r="D483" s="174">
        <f>D480</f>
        <v>10</v>
      </c>
      <c r="E483" s="175"/>
      <c r="F483" s="175"/>
      <c r="G483" s="175">
        <f t="shared" si="133"/>
        <v>64.429530201342288</v>
      </c>
      <c r="H483" s="176">
        <f t="shared" si="134"/>
        <v>64.429530201342288</v>
      </c>
      <c r="I483" s="176" t="str">
        <f t="shared" si="135"/>
        <v/>
      </c>
      <c r="J483" s="176" t="str">
        <f t="shared" si="136"/>
        <v/>
      </c>
      <c r="K483" s="48"/>
      <c r="L483" s="48"/>
      <c r="M483" s="48"/>
      <c r="N483" s="48"/>
      <c r="O483" s="48"/>
      <c r="P483" s="48"/>
      <c r="Q483" s="48"/>
      <c r="R483" s="48"/>
      <c r="S483" s="48"/>
      <c r="T483" s="18"/>
      <c r="U483" s="158"/>
      <c r="V483" s="122"/>
      <c r="W483" s="158"/>
      <c r="X483" s="18"/>
      <c r="Y483" s="18"/>
      <c r="Z483" s="18"/>
    </row>
    <row r="484" spans="1:26" ht="18" hidden="1" customHeight="1" x14ac:dyDescent="0.25">
      <c r="I484" s="48"/>
      <c r="J484" s="48"/>
      <c r="K484" s="157"/>
      <c r="T484" s="18"/>
      <c r="V484" s="136"/>
      <c r="W484" s="98"/>
    </row>
    <row r="485" spans="1:26" s="159" customFormat="1" ht="18" hidden="1" customHeight="1" x14ac:dyDescent="0.25">
      <c r="A485" s="163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18"/>
      <c r="U485" s="158"/>
      <c r="V485" s="122"/>
      <c r="W485" s="158"/>
      <c r="X485" s="18"/>
      <c r="Y485" s="18"/>
      <c r="Z485" s="18"/>
    </row>
    <row r="486" spans="1:26" s="159" customFormat="1" ht="18" hidden="1" customHeight="1" x14ac:dyDescent="0.25">
      <c r="A486" s="163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18"/>
      <c r="U486" s="158"/>
      <c r="V486" s="122"/>
      <c r="W486" s="158"/>
      <c r="X486" s="18"/>
      <c r="Y486" s="18"/>
      <c r="Z486" s="18"/>
    </row>
    <row r="487" spans="1:26" s="159" customFormat="1" ht="18" hidden="1" customHeight="1" x14ac:dyDescent="0.25">
      <c r="A487" s="163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18"/>
      <c r="U487" s="158"/>
      <c r="V487" s="122"/>
      <c r="W487" s="158"/>
      <c r="X487" s="18"/>
      <c r="Y487" s="18"/>
      <c r="Z487" s="18"/>
    </row>
    <row r="488" spans="1:26" s="159" customFormat="1" ht="18" hidden="1" customHeight="1" x14ac:dyDescent="0.25">
      <c r="A488" s="163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18"/>
      <c r="U488" s="158"/>
      <c r="V488" s="122"/>
      <c r="W488" s="158"/>
      <c r="X488" s="18"/>
      <c r="Y488" s="18"/>
      <c r="Z488" s="18"/>
    </row>
    <row r="489" spans="1:26" s="159" customFormat="1" ht="18" hidden="1" customHeight="1" x14ac:dyDescent="0.25">
      <c r="A489" s="163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18"/>
      <c r="U489" s="158"/>
      <c r="V489" s="122"/>
      <c r="W489" s="158"/>
      <c r="X489" s="18"/>
      <c r="Y489" s="18"/>
      <c r="Z489" s="18"/>
    </row>
    <row r="490" spans="1:26" s="159" customFormat="1" ht="18" hidden="1" customHeight="1" x14ac:dyDescent="0.25">
      <c r="A490" s="139"/>
      <c r="B490" s="103"/>
      <c r="C490" s="101"/>
      <c r="D490" s="103"/>
      <c r="E490" s="103"/>
      <c r="F490" s="103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18"/>
      <c r="U490" s="158"/>
      <c r="V490" s="122"/>
      <c r="W490" s="158"/>
      <c r="X490" s="18"/>
      <c r="Y490" s="18"/>
      <c r="Z490" s="18"/>
    </row>
    <row r="491" spans="1:26" s="159" customFormat="1" ht="18" hidden="1" customHeight="1" x14ac:dyDescent="0.25">
      <c r="A491" s="139"/>
      <c r="B491" s="103"/>
      <c r="C491" s="101"/>
      <c r="D491" s="103"/>
      <c r="E491" s="103"/>
      <c r="F491" s="103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18"/>
      <c r="U491" s="158"/>
      <c r="V491" s="122"/>
      <c r="W491" s="158"/>
      <c r="X491" s="18"/>
      <c r="Y491" s="18"/>
      <c r="Z491" s="18"/>
    </row>
    <row r="492" spans="1:26" ht="18" hidden="1" customHeight="1" x14ac:dyDescent="0.25">
      <c r="I492" s="48"/>
      <c r="J492" s="48"/>
      <c r="T492" s="18"/>
      <c r="W492" s="98"/>
    </row>
    <row r="493" spans="1:26" ht="18" hidden="1" customHeight="1" x14ac:dyDescent="0.25">
      <c r="A493" s="104" t="s">
        <v>209</v>
      </c>
      <c r="H493" s="157"/>
      <c r="I493" s="157"/>
      <c r="J493" s="157"/>
      <c r="K493" s="157"/>
      <c r="T493" s="18"/>
      <c r="W493" s="98"/>
    </row>
    <row r="494" spans="1:26" ht="48" hidden="1" customHeight="1" thickBot="1" x14ac:dyDescent="0.25">
      <c r="A494" s="166" t="s">
        <v>2</v>
      </c>
      <c r="B494" s="167" t="s">
        <v>203</v>
      </c>
      <c r="C494" s="167" t="s">
        <v>210</v>
      </c>
      <c r="D494" s="168" t="s">
        <v>1</v>
      </c>
      <c r="E494" s="169"/>
      <c r="F494" s="169"/>
      <c r="G494" s="169" t="s">
        <v>11</v>
      </c>
      <c r="H494" s="170" t="str">
        <f>"DEFICIENTE &lt; = "&amp;$H$3</f>
        <v>DEFICIENTE &lt; = 90</v>
      </c>
      <c r="I494" s="170" t="str">
        <f>"PROCESO &gt; "&amp;$H$3&amp;"  -  &lt; "&amp;$I$3</f>
        <v>PROCESO &gt; 90  -  &lt; 100</v>
      </c>
      <c r="J494" s="170" t="str">
        <f>"OPTIMO &gt; = "&amp;$I$3</f>
        <v>OPTIMO &gt; = 100</v>
      </c>
      <c r="K494" s="157"/>
      <c r="T494" s="18"/>
      <c r="V494" s="122" t="s">
        <v>211</v>
      </c>
      <c r="W494" s="98"/>
    </row>
    <row r="495" spans="1:26" ht="18" hidden="1" customHeight="1" thickBot="1" x14ac:dyDescent="0.3">
      <c r="A495" s="171" t="str">
        <f>Config!$B$15</f>
        <v>RED</v>
      </c>
      <c r="B495" s="55">
        <f>SUM(B496:B503)</f>
        <v>1771</v>
      </c>
      <c r="C495" s="55">
        <f>SUM(C496:C504)</f>
        <v>1812</v>
      </c>
      <c r="D495" s="55">
        <f>Config!$D$9</f>
        <v>100</v>
      </c>
      <c r="E495" s="55"/>
      <c r="F495" s="55"/>
      <c r="G495" s="55">
        <f t="shared" ref="G495:G503" si="139">IFERROR(+C495*100/B495,0)</f>
        <v>102.31507622811971</v>
      </c>
      <c r="H495" s="55" t="str">
        <f t="shared" ref="H495:H503" si="140">IF(G495&lt;=$H$3,G495,"")</f>
        <v/>
      </c>
      <c r="I495" s="55" t="str">
        <f t="shared" ref="I495:I503" si="141">IF(G495&gt;$H$3,IF(G495&lt;$I$3,G495,""),"")</f>
        <v/>
      </c>
      <c r="J495" s="55">
        <f t="shared" ref="J495:J503" si="142">IF(G495&gt;=$I$3,G495,"")</f>
        <v>102.31507622811971</v>
      </c>
      <c r="K495" s="157"/>
      <c r="T495" s="18"/>
      <c r="V495" s="137" t="str">
        <f>$V$1&amp;"  "&amp;V494&amp;"  "&amp;$V$3&amp;"  "&amp;$V$2</f>
        <v>RED. MOYOBAMBA:  SEGUIMIENTO DE CASOS DE NEUMONIAS &lt; 5 AÑOS  - POR MICROREDES :   ENERO - MAYO 2022</v>
      </c>
      <c r="W495" s="98"/>
    </row>
    <row r="496" spans="1:26" s="159" customFormat="1" ht="18" hidden="1" customHeight="1" x14ac:dyDescent="0.25">
      <c r="A496" s="172" t="str">
        <f>Config!$B$16</f>
        <v>HOSP</v>
      </c>
      <c r="B496" s="173">
        <f t="shared" ref="B496:B503" si="143">D456</f>
        <v>0</v>
      </c>
      <c r="C496" s="173">
        <f>SUM(ACUMULADO!$AT$24:$AT$25)</f>
        <v>0</v>
      </c>
      <c r="D496" s="174">
        <f>D495</f>
        <v>100</v>
      </c>
      <c r="E496" s="175"/>
      <c r="F496" s="175"/>
      <c r="G496" s="175">
        <f t="shared" si="139"/>
        <v>0</v>
      </c>
      <c r="H496" s="176">
        <f t="shared" si="140"/>
        <v>0</v>
      </c>
      <c r="I496" s="176" t="str">
        <f t="shared" si="141"/>
        <v/>
      </c>
      <c r="J496" s="176" t="str">
        <f t="shared" si="142"/>
        <v/>
      </c>
      <c r="K496" s="157"/>
      <c r="L496" s="48"/>
      <c r="M496" s="48"/>
      <c r="N496" s="48"/>
      <c r="O496" s="48"/>
      <c r="P496" s="48"/>
      <c r="Q496" s="48"/>
      <c r="R496" s="48"/>
      <c r="S496" s="48"/>
      <c r="T496" s="18"/>
      <c r="U496" s="158"/>
      <c r="V496" s="165"/>
      <c r="W496" s="158"/>
      <c r="X496" s="18"/>
      <c r="Y496" s="18"/>
      <c r="Z496" s="18"/>
    </row>
    <row r="497" spans="1:26" s="159" customFormat="1" ht="18" hidden="1" customHeight="1" x14ac:dyDescent="0.25">
      <c r="A497" s="172" t="str">
        <f>Config!$B$17</f>
        <v>LLUI</v>
      </c>
      <c r="B497" s="173">
        <f t="shared" si="143"/>
        <v>922</v>
      </c>
      <c r="C497" s="173">
        <f>SUM(ACUMULADO!$AU$24:$AU$25)</f>
        <v>748</v>
      </c>
      <c r="D497" s="174">
        <f>D502</f>
        <v>100</v>
      </c>
      <c r="E497" s="175"/>
      <c r="F497" s="175"/>
      <c r="G497" s="175">
        <f t="shared" si="139"/>
        <v>81.127982646420818</v>
      </c>
      <c r="H497" s="176">
        <f t="shared" si="140"/>
        <v>81.127982646420818</v>
      </c>
      <c r="I497" s="176" t="str">
        <f t="shared" si="141"/>
        <v/>
      </c>
      <c r="J497" s="176" t="str">
        <f t="shared" si="142"/>
        <v/>
      </c>
      <c r="K497" s="48"/>
      <c r="L497" s="48"/>
      <c r="M497" s="48"/>
      <c r="N497" s="48"/>
      <c r="O497" s="48"/>
      <c r="P497" s="48"/>
      <c r="Q497" s="48"/>
      <c r="R497" s="48"/>
      <c r="S497" s="48"/>
      <c r="T497" s="18"/>
      <c r="U497" s="158"/>
      <c r="V497" s="136" t="str">
        <f>IF(G495&lt;=$H$3,"DEFICIENTE",IF(G495&gt;$H$3,IF(G495&lt;$I$3,"en PROCESO",IF(G495&gt;=$I$3,"OPTIMO",""))))</f>
        <v>OPTIMO</v>
      </c>
      <c r="W497" s="18"/>
      <c r="X497" s="18"/>
      <c r="Y497" s="18"/>
      <c r="Z497" s="18"/>
    </row>
    <row r="498" spans="1:26" s="159" customFormat="1" ht="18" hidden="1" customHeight="1" x14ac:dyDescent="0.25">
      <c r="A498" s="172" t="str">
        <f>Config!$B$18</f>
        <v>JERI</v>
      </c>
      <c r="B498" s="173">
        <f t="shared" si="143"/>
        <v>96</v>
      </c>
      <c r="C498" s="173">
        <f>SUM(ACUMULADO!$AV$24:$AV$25)</f>
        <v>51</v>
      </c>
      <c r="D498" s="174">
        <f>D501</f>
        <v>100</v>
      </c>
      <c r="E498" s="175"/>
      <c r="F498" s="175"/>
      <c r="G498" s="175">
        <f t="shared" si="139"/>
        <v>53.125</v>
      </c>
      <c r="H498" s="176">
        <f t="shared" si="140"/>
        <v>53.125</v>
      </c>
      <c r="I498" s="176" t="str">
        <f t="shared" si="141"/>
        <v/>
      </c>
      <c r="J498" s="176" t="str">
        <f t="shared" si="142"/>
        <v/>
      </c>
      <c r="K498" s="48"/>
      <c r="L498" s="48"/>
      <c r="M498" s="48"/>
      <c r="N498" s="48"/>
      <c r="O498" s="48"/>
      <c r="P498" s="48"/>
      <c r="Q498" s="48"/>
      <c r="R498" s="48"/>
      <c r="S498" s="48"/>
      <c r="T498" s="18"/>
      <c r="U498" s="158"/>
      <c r="V498" s="136"/>
      <c r="W498" s="98"/>
      <c r="X498" s="18"/>
      <c r="Y498" s="18"/>
      <c r="Z498" s="18"/>
    </row>
    <row r="499" spans="1:26" s="159" customFormat="1" ht="18" hidden="1" customHeight="1" x14ac:dyDescent="0.25">
      <c r="A499" s="172" t="str">
        <f>Config!$B$19</f>
        <v>YANT</v>
      </c>
      <c r="B499" s="173">
        <f t="shared" si="143"/>
        <v>150</v>
      </c>
      <c r="C499" s="173">
        <f>SUM(ACUMULADO!$AW$24:$AW$25)</f>
        <v>117</v>
      </c>
      <c r="D499" s="174">
        <f t="shared" ref="D499:D500" si="144">D498</f>
        <v>100</v>
      </c>
      <c r="E499" s="175"/>
      <c r="F499" s="175"/>
      <c r="G499" s="175">
        <f t="shared" si="139"/>
        <v>78</v>
      </c>
      <c r="H499" s="176">
        <f t="shared" si="140"/>
        <v>78</v>
      </c>
      <c r="I499" s="176" t="str">
        <f t="shared" si="141"/>
        <v/>
      </c>
      <c r="J499" s="176" t="str">
        <f t="shared" si="142"/>
        <v/>
      </c>
      <c r="K499" s="48"/>
      <c r="L499" s="48"/>
      <c r="M499" s="48"/>
      <c r="N499" s="48"/>
      <c r="O499" s="48"/>
      <c r="P499" s="48"/>
      <c r="Q499" s="48"/>
      <c r="R499" s="48"/>
      <c r="S499" s="48"/>
      <c r="T499" s="18"/>
      <c r="U499" s="158"/>
      <c r="V499" s="136"/>
      <c r="W499" s="98"/>
      <c r="X499" s="18"/>
      <c r="Y499" s="18"/>
      <c r="Z499" s="18"/>
    </row>
    <row r="500" spans="1:26" s="159" customFormat="1" ht="18" hidden="1" customHeight="1" x14ac:dyDescent="0.25">
      <c r="A500" s="172" t="str">
        <f>Config!$B$20</f>
        <v>SORI</v>
      </c>
      <c r="B500" s="173">
        <f t="shared" si="143"/>
        <v>3</v>
      </c>
      <c r="C500" s="173">
        <f>SUM(ACUMULADO!$AX$24:$AX$25)</f>
        <v>449</v>
      </c>
      <c r="D500" s="174">
        <f t="shared" si="144"/>
        <v>100</v>
      </c>
      <c r="E500" s="175"/>
      <c r="F500" s="175"/>
      <c r="G500" s="175">
        <f t="shared" si="139"/>
        <v>14966.666666666666</v>
      </c>
      <c r="H500" s="176" t="str">
        <f t="shared" si="140"/>
        <v/>
      </c>
      <c r="I500" s="176" t="str">
        <f t="shared" si="141"/>
        <v/>
      </c>
      <c r="J500" s="176">
        <f t="shared" si="142"/>
        <v>14966.666666666666</v>
      </c>
      <c r="K500" s="48"/>
      <c r="L500" s="48"/>
      <c r="M500" s="48"/>
      <c r="N500" s="48"/>
      <c r="O500" s="48"/>
      <c r="P500" s="48"/>
      <c r="Q500" s="48"/>
      <c r="R500" s="48"/>
      <c r="S500" s="48"/>
      <c r="T500" s="18"/>
      <c r="U500" s="158"/>
      <c r="V500" s="136"/>
      <c r="W500" s="98"/>
      <c r="X500" s="18"/>
      <c r="Y500" s="18"/>
      <c r="Z500" s="18"/>
    </row>
    <row r="501" spans="1:26" s="159" customFormat="1" ht="18" hidden="1" customHeight="1" x14ac:dyDescent="0.25">
      <c r="A501" s="172" t="str">
        <f>Config!$B$21</f>
        <v>JEPE</v>
      </c>
      <c r="B501" s="173">
        <f t="shared" si="143"/>
        <v>303</v>
      </c>
      <c r="C501" s="173">
        <f>SUM(ACUMULADO!$AY$24:$AY$25)</f>
        <v>214</v>
      </c>
      <c r="D501" s="174">
        <f>D497</f>
        <v>100</v>
      </c>
      <c r="E501" s="175"/>
      <c r="F501" s="175"/>
      <c r="G501" s="175">
        <f>IFERROR(+C501*100/B501,0)</f>
        <v>70.627062706270621</v>
      </c>
      <c r="H501" s="176">
        <f t="shared" si="140"/>
        <v>70.627062706270621</v>
      </c>
      <c r="I501" s="176" t="str">
        <f t="shared" si="141"/>
        <v/>
      </c>
      <c r="J501" s="176" t="str">
        <f t="shared" si="142"/>
        <v/>
      </c>
      <c r="K501" s="48"/>
      <c r="L501" s="48"/>
      <c r="M501" s="48"/>
      <c r="N501" s="48"/>
      <c r="O501" s="48"/>
      <c r="P501" s="48"/>
      <c r="Q501" s="48"/>
      <c r="R501" s="48"/>
      <c r="S501" s="48"/>
      <c r="T501" s="18"/>
      <c r="U501" s="158"/>
      <c r="V501" s="136"/>
      <c r="W501" s="18"/>
      <c r="X501" s="18"/>
      <c r="Y501" s="18"/>
      <c r="Z501" s="18"/>
    </row>
    <row r="502" spans="1:26" s="159" customFormat="1" ht="18" hidden="1" customHeight="1" x14ac:dyDescent="0.25">
      <c r="A502" s="172" t="str">
        <f>Config!$B$22</f>
        <v>ROQU</v>
      </c>
      <c r="B502" s="173">
        <f t="shared" si="143"/>
        <v>148</v>
      </c>
      <c r="C502" s="173">
        <f>SUM(ACUMULADO!$AZ$24:$AZ$25)</f>
        <v>151</v>
      </c>
      <c r="D502" s="174">
        <f>D496</f>
        <v>100</v>
      </c>
      <c r="E502" s="175"/>
      <c r="F502" s="175"/>
      <c r="G502" s="175">
        <f>IFERROR(+C502*100/B502,0)</f>
        <v>102.02702702702703</v>
      </c>
      <c r="H502" s="176" t="str">
        <f t="shared" si="140"/>
        <v/>
      </c>
      <c r="I502" s="176" t="str">
        <f t="shared" si="141"/>
        <v/>
      </c>
      <c r="J502" s="176">
        <f t="shared" si="142"/>
        <v>102.02702702702703</v>
      </c>
      <c r="K502" s="48"/>
      <c r="L502" s="48"/>
      <c r="M502" s="48"/>
      <c r="N502" s="48"/>
      <c r="O502" s="48"/>
      <c r="P502" s="48"/>
      <c r="Q502" s="48"/>
      <c r="R502" s="48"/>
      <c r="S502" s="48"/>
      <c r="T502" s="18"/>
      <c r="U502" s="158"/>
      <c r="V502" s="105" t="e">
        <f>"El gráfico muestra el avance en %,con resultado "&amp;(V497)&amp;",  donde según los diagnosticados es de "&amp;ROUNDUP(B495,0)&amp;" niños. Encontrando un total de "&amp;C495&amp;" seguimientos, y la brecha es "&amp;ROUNDUP(#REF!,0)&amp;" donde el objetivo es al 100 % de seguimiento o control oportuno."</f>
        <v>#REF!</v>
      </c>
      <c r="W502" s="158"/>
      <c r="X502" s="18"/>
      <c r="Y502" s="18"/>
      <c r="Z502" s="18"/>
    </row>
    <row r="503" spans="1:26" s="159" customFormat="1" ht="18" hidden="1" customHeight="1" x14ac:dyDescent="0.25">
      <c r="A503" s="172" t="str">
        <f>Config!$B$23</f>
        <v>CALZ</v>
      </c>
      <c r="B503" s="173">
        <f t="shared" si="143"/>
        <v>149</v>
      </c>
      <c r="C503" s="173">
        <f>SUM(ACUMULADO!$BA$24:$BA$25)</f>
        <v>82</v>
      </c>
      <c r="D503" s="174">
        <f>D500</f>
        <v>100</v>
      </c>
      <c r="E503" s="175"/>
      <c r="F503" s="175"/>
      <c r="G503" s="175">
        <f t="shared" si="139"/>
        <v>55.033557046979865</v>
      </c>
      <c r="H503" s="176">
        <f t="shared" si="140"/>
        <v>55.033557046979865</v>
      </c>
      <c r="I503" s="176" t="str">
        <f t="shared" si="141"/>
        <v/>
      </c>
      <c r="J503" s="176" t="str">
        <f t="shared" si="142"/>
        <v/>
      </c>
      <c r="K503" s="48"/>
      <c r="L503" s="48"/>
      <c r="M503" s="48"/>
      <c r="N503" s="48"/>
      <c r="O503" s="48"/>
      <c r="P503" s="48"/>
      <c r="Q503" s="48"/>
      <c r="R503" s="48"/>
      <c r="S503" s="48"/>
      <c r="T503" s="18"/>
      <c r="U503" s="96"/>
      <c r="V503" s="122"/>
      <c r="W503" s="18"/>
      <c r="X503" s="18"/>
      <c r="Y503" s="18"/>
      <c r="Z503" s="18"/>
    </row>
    <row r="504" spans="1:26" s="159" customFormat="1" ht="18" hidden="1" customHeight="1" x14ac:dyDescent="0.25">
      <c r="A504" s="5"/>
      <c r="B504" s="48"/>
      <c r="C504" s="101"/>
      <c r="D504" s="102"/>
      <c r="E504" s="102"/>
      <c r="F504" s="103"/>
      <c r="G504" s="103"/>
      <c r="H504" s="103"/>
      <c r="I504" s="48"/>
      <c r="J504" s="48"/>
      <c r="K504" s="157"/>
      <c r="L504" s="48"/>
      <c r="M504" s="48"/>
      <c r="N504" s="48"/>
      <c r="O504" s="48"/>
      <c r="P504" s="48"/>
      <c r="Q504" s="48"/>
      <c r="R504" s="48"/>
      <c r="S504" s="48"/>
      <c r="T504" s="18"/>
      <c r="U504" s="98"/>
      <c r="V504" s="165"/>
      <c r="W504" s="18"/>
      <c r="X504" s="18"/>
      <c r="Y504" s="18"/>
      <c r="Z504" s="18"/>
    </row>
    <row r="505" spans="1:26" s="159" customFormat="1" ht="18" hidden="1" customHeight="1" x14ac:dyDescent="0.25">
      <c r="A505" s="163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18"/>
      <c r="U505" s="96"/>
      <c r="V505" s="122"/>
      <c r="W505" s="18"/>
      <c r="X505" s="18"/>
      <c r="Y505" s="18"/>
      <c r="Z505" s="18"/>
    </row>
    <row r="506" spans="1:26" s="159" customFormat="1" ht="18" hidden="1" customHeight="1" x14ac:dyDescent="0.25">
      <c r="A506" s="163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18"/>
      <c r="U506" s="96"/>
      <c r="V506" s="122"/>
      <c r="W506" s="18"/>
      <c r="X506" s="18"/>
      <c r="Y506" s="18"/>
      <c r="Z506" s="18"/>
    </row>
    <row r="507" spans="1:26" s="159" customFormat="1" ht="18" hidden="1" customHeight="1" x14ac:dyDescent="0.25">
      <c r="A507" s="163"/>
      <c r="K507" s="48"/>
      <c r="L507" s="48"/>
      <c r="M507" s="48"/>
      <c r="N507" s="48"/>
      <c r="O507" s="48"/>
      <c r="P507" s="48"/>
      <c r="Q507" s="48"/>
      <c r="R507" s="48"/>
      <c r="S507" s="48"/>
      <c r="T507" s="18"/>
      <c r="U507" s="96"/>
      <c r="V507" s="122"/>
      <c r="W507" s="18"/>
      <c r="X507" s="18"/>
      <c r="Y507" s="18"/>
      <c r="Z507" s="18"/>
    </row>
    <row r="508" spans="1:26" s="159" customFormat="1" ht="18" hidden="1" customHeight="1" x14ac:dyDescent="0.25">
      <c r="A508" s="163"/>
      <c r="K508" s="48"/>
      <c r="L508" s="48"/>
      <c r="M508" s="48"/>
      <c r="N508" s="48"/>
      <c r="O508" s="48"/>
      <c r="P508" s="48"/>
      <c r="Q508" s="48"/>
      <c r="R508" s="48"/>
      <c r="S508" s="48"/>
      <c r="T508" s="18"/>
      <c r="U508" s="96"/>
      <c r="V508" s="122"/>
      <c r="W508" s="18"/>
      <c r="X508" s="18"/>
      <c r="Y508" s="18"/>
      <c r="Z508" s="18"/>
    </row>
    <row r="509" spans="1:26" s="159" customFormat="1" ht="18" hidden="1" customHeight="1" x14ac:dyDescent="0.25">
      <c r="A509" s="163"/>
      <c r="K509" s="48"/>
      <c r="L509" s="48"/>
      <c r="M509" s="48"/>
      <c r="N509" s="48"/>
      <c r="O509" s="48"/>
      <c r="P509" s="48"/>
      <c r="Q509" s="48"/>
      <c r="R509" s="48"/>
      <c r="S509" s="48"/>
      <c r="T509" s="18"/>
      <c r="U509" s="96"/>
      <c r="V509" s="122"/>
      <c r="W509" s="18"/>
      <c r="X509" s="18"/>
      <c r="Y509" s="18"/>
      <c r="Z509" s="18"/>
    </row>
    <row r="510" spans="1:26" s="159" customFormat="1" ht="18" hidden="1" customHeight="1" x14ac:dyDescent="0.25">
      <c r="A510" s="163"/>
      <c r="K510" s="48"/>
      <c r="L510" s="48"/>
      <c r="M510" s="48"/>
      <c r="N510" s="48"/>
      <c r="O510" s="48"/>
      <c r="P510" s="48"/>
      <c r="Q510" s="48"/>
      <c r="R510" s="48"/>
      <c r="S510" s="48"/>
      <c r="T510" s="18"/>
      <c r="U510" s="96"/>
      <c r="V510" s="122"/>
      <c r="W510" s="18"/>
      <c r="X510" s="18"/>
      <c r="Y510" s="18"/>
      <c r="Z510" s="18"/>
    </row>
    <row r="511" spans="1:26" s="159" customFormat="1" ht="18" hidden="1" customHeight="1" x14ac:dyDescent="0.25">
      <c r="A511" s="139"/>
      <c r="B511" s="103"/>
      <c r="C511" s="101"/>
      <c r="D511" s="103"/>
      <c r="E511" s="103"/>
      <c r="F511" s="103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18"/>
      <c r="U511" s="158"/>
      <c r="V511" s="122"/>
      <c r="W511" s="158"/>
      <c r="X511" s="18"/>
      <c r="Y511" s="18"/>
      <c r="Z511" s="18"/>
    </row>
    <row r="512" spans="1:26" hidden="1" x14ac:dyDescent="0.25"/>
    <row r="513" spans="1:26" hidden="1" x14ac:dyDescent="0.25"/>
    <row r="514" spans="1:26" hidden="1" x14ac:dyDescent="0.25"/>
    <row r="515" spans="1:26" ht="18" hidden="1" customHeight="1" x14ac:dyDescent="0.25">
      <c r="A515" s="104" t="s">
        <v>212</v>
      </c>
      <c r="H515" s="157"/>
      <c r="I515" s="157"/>
      <c r="J515" s="157"/>
      <c r="K515" s="157"/>
      <c r="T515" s="18"/>
      <c r="V515" s="97" t="s">
        <v>213</v>
      </c>
      <c r="W515" s="98"/>
    </row>
    <row r="516" spans="1:26" ht="48" hidden="1" customHeight="1" thickBot="1" x14ac:dyDescent="0.25">
      <c r="A516" s="107" t="s">
        <v>2</v>
      </c>
      <c r="B516" s="108" t="s">
        <v>214</v>
      </c>
      <c r="C516" s="109" t="s">
        <v>215</v>
      </c>
      <c r="D516" s="108"/>
      <c r="E516" s="108"/>
      <c r="F516" s="110"/>
      <c r="G516" s="111" t="s">
        <v>11</v>
      </c>
      <c r="H516" s="112"/>
      <c r="I516" s="112"/>
      <c r="J516" s="112"/>
      <c r="K516" s="157"/>
      <c r="T516" s="18"/>
      <c r="V516" s="137" t="str">
        <f>$V$1&amp;"  "&amp;V515&amp;"  "&amp;$V$3&amp;"  "&amp;$V$2</f>
        <v>RED. MOYOBAMBA:  RECIEN NACIDOS CON BAJO PESO AL NACER / TOTAL DE RN  - POR MICROREDES :   ENERO - MAYO 2022</v>
      </c>
      <c r="W516" s="98"/>
    </row>
    <row r="517" spans="1:26" ht="18" hidden="1" customHeight="1" thickBot="1" x14ac:dyDescent="0.3">
      <c r="A517" s="118" t="str">
        <f>Config!$B$15</f>
        <v>RED</v>
      </c>
      <c r="B517" s="119">
        <f>SUM(B518:B525)</f>
        <v>0</v>
      </c>
      <c r="C517" s="119">
        <f>SUM(C518:C525)</f>
        <v>0</v>
      </c>
      <c r="D517" s="119"/>
      <c r="E517" s="119"/>
      <c r="F517" s="120"/>
      <c r="G517" s="119">
        <f>IFERROR(+C517*100/B517,0)</f>
        <v>0</v>
      </c>
      <c r="H517" s="121"/>
      <c r="I517" s="121"/>
      <c r="J517" s="119"/>
      <c r="K517" s="157"/>
      <c r="T517" s="18"/>
      <c r="V517" s="97"/>
      <c r="W517" s="98"/>
    </row>
    <row r="518" spans="1:26" s="159" customFormat="1" ht="18" hidden="1" customHeight="1" x14ac:dyDescent="0.25">
      <c r="A518" s="126" t="str">
        <f>Config!$B$16</f>
        <v>HOSP</v>
      </c>
      <c r="B518" s="127">
        <f>ACUMULADO!$AT$110</f>
        <v>0</v>
      </c>
      <c r="C518" s="127">
        <f>ACUMULADO!$AT$111</f>
        <v>0</v>
      </c>
      <c r="D518" s="127"/>
      <c r="E518" s="127"/>
      <c r="F518" s="128"/>
      <c r="G518" s="129">
        <f>IFERROR(+C518*100/B518,0)</f>
        <v>0</v>
      </c>
      <c r="H518" s="130"/>
      <c r="I518" s="130"/>
      <c r="J518" s="131"/>
      <c r="K518" s="157"/>
      <c r="L518" s="48"/>
      <c r="M518" s="48"/>
      <c r="N518" s="48"/>
      <c r="O518" s="48"/>
      <c r="P518" s="48"/>
      <c r="Q518" s="48"/>
      <c r="R518" s="48"/>
      <c r="S518" s="48"/>
      <c r="T518" s="18"/>
      <c r="U518" s="158"/>
      <c r="V518" s="97" t="str">
        <f>"El gráfico muestra el avance en %,con resultado "&amp;(V519)&amp;", donde la población a trabajar es de "&amp;ROUNDUP(C517,0)&amp;" niños, que son los casos identificados con neumonia ,encontrando un total de "&amp;D517&amp;" niños complicados, donde el objetivo es no tener CASOS."</f>
        <v>El gráfico muestra el avance en %,con resultado FALSO, donde la población a trabajar es de 0 niños, que son los casos identificados con neumonia ,encontrando un total de  niños complicados, donde el objetivo es no tener CASOS.</v>
      </c>
      <c r="W518" s="158"/>
      <c r="X518" s="18"/>
      <c r="Y518" s="18"/>
      <c r="Z518" s="18"/>
    </row>
    <row r="519" spans="1:26" s="159" customFormat="1" ht="18" hidden="1" customHeight="1" x14ac:dyDescent="0.25">
      <c r="A519" s="132" t="str">
        <f>Config!$B$17</f>
        <v>LLUI</v>
      </c>
      <c r="B519" s="99">
        <f>ACUMULADO!$AU$110</f>
        <v>0</v>
      </c>
      <c r="C519" s="99">
        <f>ACUMULADO!$AU$111</f>
        <v>0</v>
      </c>
      <c r="D519" s="99"/>
      <c r="E519" s="99"/>
      <c r="F519" s="138"/>
      <c r="G519" s="133">
        <f t="shared" ref="G519:G526" si="145">IFERROR(+C519*100/B519,0)</f>
        <v>0</v>
      </c>
      <c r="H519" s="134"/>
      <c r="I519" s="134"/>
      <c r="J519" s="135"/>
      <c r="K519" s="48"/>
      <c r="L519" s="48"/>
      <c r="M519" s="48"/>
      <c r="N519" s="48"/>
      <c r="O519" s="48"/>
      <c r="P519" s="48"/>
      <c r="Q519" s="48"/>
      <c r="R519" s="48"/>
      <c r="S519" s="48"/>
      <c r="T519" s="18"/>
      <c r="U519" s="158"/>
      <c r="V519" s="97" t="b">
        <f>IF(G517&gt;=$Y$478,"ALERTA",IF(G517&gt;$W$478,IF(G517&lt;$Y$478,"en PROCESO",IF(G517&lt;=$W$478,"OPTIMO SIN NEUMONIAS COMPLICADAS",""))))</f>
        <v>0</v>
      </c>
      <c r="W519" s="158"/>
      <c r="X519" s="18"/>
      <c r="Y519" s="18"/>
      <c r="Z519" s="18"/>
    </row>
    <row r="520" spans="1:26" s="159" customFormat="1" ht="18" hidden="1" customHeight="1" x14ac:dyDescent="0.25">
      <c r="A520" s="132" t="str">
        <f>Config!$B$18</f>
        <v>JERI</v>
      </c>
      <c r="B520" s="99">
        <f>ACUMULADO!$AV$110</f>
        <v>0</v>
      </c>
      <c r="C520" s="99">
        <f>ACUMULADO!$AV$111</f>
        <v>0</v>
      </c>
      <c r="D520" s="99"/>
      <c r="E520" s="99"/>
      <c r="F520" s="138"/>
      <c r="G520" s="133">
        <f t="shared" si="145"/>
        <v>0</v>
      </c>
      <c r="H520" s="134"/>
      <c r="I520" s="134"/>
      <c r="J520" s="135"/>
      <c r="K520" s="48"/>
      <c r="L520" s="48"/>
      <c r="M520" s="48"/>
      <c r="N520" s="48"/>
      <c r="O520" s="48"/>
      <c r="P520" s="48"/>
      <c r="Q520" s="48"/>
      <c r="R520" s="48"/>
      <c r="S520" s="48"/>
      <c r="T520" s="18"/>
      <c r="U520" s="158"/>
      <c r="V520" s="97"/>
      <c r="W520" s="162">
        <v>5</v>
      </c>
      <c r="X520" s="149">
        <v>10</v>
      </c>
      <c r="Y520" s="149">
        <v>10.1</v>
      </c>
      <c r="Z520" s="18"/>
    </row>
    <row r="521" spans="1:26" s="159" customFormat="1" ht="18" hidden="1" customHeight="1" x14ac:dyDescent="0.25">
      <c r="A521" s="132" t="str">
        <f>Config!$B$19</f>
        <v>YANT</v>
      </c>
      <c r="B521" s="99">
        <f>ACUMULADO!$AW$110</f>
        <v>0</v>
      </c>
      <c r="C521" s="99">
        <f>ACUMULADO!$AW$111</f>
        <v>0</v>
      </c>
      <c r="D521" s="99"/>
      <c r="E521" s="99"/>
      <c r="F521" s="138"/>
      <c r="G521" s="133">
        <f t="shared" si="145"/>
        <v>0</v>
      </c>
      <c r="H521" s="134"/>
      <c r="I521" s="134"/>
      <c r="J521" s="135"/>
      <c r="K521" s="48"/>
      <c r="L521" s="48"/>
      <c r="M521" s="48"/>
      <c r="N521" s="48"/>
      <c r="O521" s="48"/>
      <c r="P521" s="48"/>
      <c r="Q521" s="48"/>
      <c r="R521" s="48"/>
      <c r="S521" s="48"/>
      <c r="T521" s="18"/>
      <c r="U521" s="158"/>
      <c r="V521" s="97"/>
      <c r="W521" s="158"/>
      <c r="X521" s="18"/>
      <c r="Y521" s="18"/>
      <c r="Z521" s="18"/>
    </row>
    <row r="522" spans="1:26" s="159" customFormat="1" ht="18" hidden="1" customHeight="1" x14ac:dyDescent="0.25">
      <c r="A522" s="132" t="str">
        <f>Config!$B$20</f>
        <v>SORI</v>
      </c>
      <c r="B522" s="99">
        <f>ACUMULADO!$AX$110</f>
        <v>0</v>
      </c>
      <c r="C522" s="99">
        <f>ACUMULADO!$AX$111</f>
        <v>0</v>
      </c>
      <c r="D522" s="99"/>
      <c r="E522" s="99"/>
      <c r="F522" s="138"/>
      <c r="G522" s="133">
        <f t="shared" si="145"/>
        <v>0</v>
      </c>
      <c r="H522" s="134"/>
      <c r="I522" s="134"/>
      <c r="J522" s="135"/>
      <c r="K522" s="48"/>
      <c r="L522" s="48"/>
      <c r="M522" s="48"/>
      <c r="N522" s="48"/>
      <c r="O522" s="48"/>
      <c r="P522" s="48"/>
      <c r="Q522" s="48"/>
      <c r="R522" s="48"/>
      <c r="S522" s="48"/>
      <c r="T522" s="18"/>
      <c r="U522" s="158"/>
      <c r="V522" s="97"/>
      <c r="W522" s="158"/>
      <c r="X522" s="18"/>
      <c r="Y522" s="18"/>
      <c r="Z522" s="18"/>
    </row>
    <row r="523" spans="1:26" s="159" customFormat="1" ht="18" hidden="1" customHeight="1" x14ac:dyDescent="0.25">
      <c r="A523" s="132" t="str">
        <f>Config!$B$21</f>
        <v>JEPE</v>
      </c>
      <c r="B523" s="99">
        <f>ACUMULADO!$AY$110</f>
        <v>0</v>
      </c>
      <c r="C523" s="99">
        <f>ACUMULADO!$AY$111</f>
        <v>0</v>
      </c>
      <c r="D523" s="99"/>
      <c r="E523" s="99"/>
      <c r="F523" s="138"/>
      <c r="G523" s="133">
        <f>IFERROR(+C523*100/B523,0)</f>
        <v>0</v>
      </c>
      <c r="H523" s="134"/>
      <c r="I523" s="134"/>
      <c r="J523" s="135"/>
      <c r="K523" s="48"/>
      <c r="L523" s="48"/>
      <c r="M523" s="48"/>
      <c r="N523" s="48"/>
      <c r="O523" s="48"/>
      <c r="P523" s="48"/>
      <c r="Q523" s="48"/>
      <c r="R523" s="48"/>
      <c r="S523" s="48"/>
      <c r="T523" s="18"/>
      <c r="U523" s="158"/>
      <c r="V523" s="97"/>
      <c r="W523" s="160" t="s">
        <v>204</v>
      </c>
      <c r="X523" s="161" t="s">
        <v>197</v>
      </c>
      <c r="Y523" s="161" t="s">
        <v>198</v>
      </c>
      <c r="Z523" s="18"/>
    </row>
    <row r="524" spans="1:26" s="159" customFormat="1" ht="18" hidden="1" customHeight="1" x14ac:dyDescent="0.25">
      <c r="A524" s="132" t="str">
        <f>Config!$B$22</f>
        <v>ROQU</v>
      </c>
      <c r="B524" s="99">
        <f>ACUMULADO!$AZ$110</f>
        <v>0</v>
      </c>
      <c r="C524" s="99">
        <f>ACUMULADO!$AZ$111</f>
        <v>0</v>
      </c>
      <c r="D524" s="99"/>
      <c r="E524" s="99"/>
      <c r="F524" s="138"/>
      <c r="G524" s="133">
        <f>IFERROR(+C524*100/B524,0)</f>
        <v>0</v>
      </c>
      <c r="H524" s="134"/>
      <c r="I524" s="134"/>
      <c r="J524" s="135"/>
      <c r="K524" s="157"/>
      <c r="L524" s="48"/>
      <c r="M524" s="48"/>
      <c r="N524" s="48"/>
      <c r="O524" s="48"/>
      <c r="P524" s="48"/>
      <c r="Q524" s="48"/>
      <c r="R524" s="48"/>
      <c r="S524" s="48"/>
      <c r="T524" s="18"/>
      <c r="U524" s="158"/>
      <c r="V524" s="165"/>
      <c r="W524" s="158"/>
      <c r="X524" s="18"/>
      <c r="Y524" s="18"/>
      <c r="Z524" s="18"/>
    </row>
    <row r="525" spans="1:26" s="159" customFormat="1" ht="18" hidden="1" customHeight="1" x14ac:dyDescent="0.25">
      <c r="A525" s="132" t="str">
        <f>Config!$B$23</f>
        <v>CALZ</v>
      </c>
      <c r="B525" s="99">
        <f>ACUMULADO!$BA$110</f>
        <v>0</v>
      </c>
      <c r="C525" s="99">
        <f>ACUMULADO!$BA$111</f>
        <v>0</v>
      </c>
      <c r="D525" s="99"/>
      <c r="E525" s="99"/>
      <c r="F525" s="138"/>
      <c r="G525" s="133">
        <f t="shared" si="145"/>
        <v>0</v>
      </c>
      <c r="H525" s="134"/>
      <c r="I525" s="134"/>
      <c r="J525" s="135"/>
      <c r="K525" s="48"/>
      <c r="L525" s="48"/>
      <c r="M525" s="48"/>
      <c r="N525" s="48"/>
      <c r="O525" s="48"/>
      <c r="P525" s="48"/>
      <c r="Q525" s="48"/>
      <c r="R525" s="48"/>
      <c r="S525" s="48"/>
      <c r="T525" s="18"/>
      <c r="U525" s="158"/>
      <c r="V525" s="122"/>
      <c r="W525" s="158"/>
      <c r="X525" s="18"/>
      <c r="Y525" s="18"/>
      <c r="Z525" s="18"/>
    </row>
    <row r="526" spans="1:26" ht="18" hidden="1" customHeight="1" x14ac:dyDescent="0.25">
      <c r="A526" s="132" t="str">
        <f>Config!$B$24</f>
        <v>PUEB</v>
      </c>
      <c r="B526" s="99">
        <f>ACUMULADO!$BB$110</f>
        <v>0</v>
      </c>
      <c r="C526" s="99">
        <f>ACUMULADO!$BB$111</f>
        <v>0</v>
      </c>
      <c r="D526" s="99"/>
      <c r="E526" s="99"/>
      <c r="F526" s="138"/>
      <c r="G526" s="133">
        <f t="shared" si="145"/>
        <v>0</v>
      </c>
      <c r="H526" s="134"/>
      <c r="I526" s="134"/>
      <c r="J526" s="135"/>
      <c r="K526" s="157"/>
      <c r="T526" s="18"/>
      <c r="V526" s="136"/>
      <c r="W526" s="98"/>
    </row>
    <row r="527" spans="1:26" s="159" customFormat="1" ht="18" hidden="1" customHeight="1" x14ac:dyDescent="0.25">
      <c r="A527" s="163" t="s">
        <v>216</v>
      </c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18"/>
      <c r="U527" s="158"/>
      <c r="V527" s="122"/>
      <c r="W527" s="158"/>
      <c r="X527" s="18"/>
      <c r="Y527" s="18"/>
      <c r="Z527" s="18"/>
    </row>
    <row r="528" spans="1:26" s="159" customFormat="1" ht="18" hidden="1" customHeight="1" x14ac:dyDescent="0.25">
      <c r="A528" s="163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18"/>
      <c r="U528" s="158"/>
      <c r="V528" s="122"/>
      <c r="W528" s="158"/>
      <c r="X528" s="18"/>
      <c r="Y528" s="18"/>
      <c r="Z528" s="18"/>
    </row>
    <row r="529" spans="1:26" s="159" customFormat="1" ht="18" hidden="1" customHeight="1" x14ac:dyDescent="0.25">
      <c r="A529" s="163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18"/>
      <c r="U529" s="158"/>
      <c r="V529" s="122"/>
      <c r="W529" s="158"/>
      <c r="X529" s="18"/>
      <c r="Y529" s="18"/>
      <c r="Z529" s="18"/>
    </row>
    <row r="530" spans="1:26" s="159" customFormat="1" ht="18" hidden="1" customHeight="1" x14ac:dyDescent="0.25">
      <c r="A530" s="163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18"/>
      <c r="U530" s="158"/>
      <c r="V530" s="122"/>
      <c r="W530" s="158"/>
      <c r="X530" s="18"/>
      <c r="Y530" s="18"/>
      <c r="Z530" s="18"/>
    </row>
    <row r="531" spans="1:26" s="159" customFormat="1" ht="18" hidden="1" customHeight="1" x14ac:dyDescent="0.25">
      <c r="A531" s="163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18"/>
      <c r="U531" s="158"/>
      <c r="V531" s="122"/>
      <c r="W531" s="158"/>
      <c r="X531" s="18"/>
      <c r="Y531" s="18"/>
      <c r="Z531" s="18"/>
    </row>
    <row r="532" spans="1:26" s="159" customFormat="1" ht="18" hidden="1" customHeight="1" x14ac:dyDescent="0.25">
      <c r="A532" s="139"/>
      <c r="B532" s="103"/>
      <c r="C532" s="101"/>
      <c r="D532" s="103"/>
      <c r="E532" s="103"/>
      <c r="F532" s="103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18"/>
      <c r="U532" s="158"/>
      <c r="V532" s="122"/>
      <c r="W532" s="158"/>
      <c r="X532" s="18"/>
      <c r="Y532" s="18"/>
      <c r="Z532" s="18"/>
    </row>
    <row r="533" spans="1:26" s="159" customFormat="1" ht="18" hidden="1" customHeight="1" x14ac:dyDescent="0.25">
      <c r="A533" s="139"/>
      <c r="B533" s="103"/>
      <c r="C533" s="101"/>
      <c r="D533" s="103"/>
      <c r="E533" s="103"/>
      <c r="F533" s="103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18"/>
      <c r="U533" s="158"/>
      <c r="V533" s="122"/>
      <c r="W533" s="158"/>
      <c r="X533" s="18"/>
      <c r="Y533" s="18"/>
      <c r="Z533" s="18"/>
    </row>
    <row r="534" spans="1:26" s="159" customFormat="1" ht="18" hidden="1" customHeight="1" x14ac:dyDescent="0.25">
      <c r="A534" s="139"/>
      <c r="B534" s="103"/>
      <c r="C534" s="101"/>
      <c r="D534" s="103"/>
      <c r="E534" s="103"/>
      <c r="F534" s="103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18"/>
      <c r="U534" s="158"/>
      <c r="V534" s="122"/>
      <c r="W534" s="158"/>
      <c r="X534" s="18"/>
      <c r="Y534" s="18"/>
      <c r="Z534" s="18"/>
    </row>
    <row r="535" spans="1:26" ht="18" hidden="1" customHeight="1" x14ac:dyDescent="0.25">
      <c r="I535" s="48"/>
      <c r="J535" s="48"/>
      <c r="T535" s="18"/>
      <c r="W535" s="98"/>
    </row>
    <row r="536" spans="1:26" ht="18" hidden="1" customHeight="1" x14ac:dyDescent="0.25">
      <c r="A536" s="104" t="s">
        <v>217</v>
      </c>
      <c r="H536" s="157"/>
      <c r="I536" s="157"/>
      <c r="J536" s="157"/>
      <c r="K536" s="157"/>
      <c r="T536" s="18"/>
      <c r="W536" s="98"/>
    </row>
    <row r="537" spans="1:26" ht="48" hidden="1" customHeight="1" thickBot="1" x14ac:dyDescent="0.25">
      <c r="A537" s="107" t="s">
        <v>2</v>
      </c>
      <c r="B537" s="108" t="s">
        <v>218</v>
      </c>
      <c r="C537" s="109" t="s">
        <v>219</v>
      </c>
      <c r="D537" s="108"/>
      <c r="E537" s="108"/>
      <c r="F537" s="110"/>
      <c r="G537" s="111" t="s">
        <v>11</v>
      </c>
      <c r="H537" s="112"/>
      <c r="I537" s="112"/>
      <c r="J537" s="112"/>
      <c r="K537" s="157"/>
      <c r="T537" s="18"/>
      <c r="V537" s="97" t="s">
        <v>220</v>
      </c>
      <c r="W537" s="98"/>
    </row>
    <row r="538" spans="1:26" ht="18" hidden="1" customHeight="1" thickBot="1" x14ac:dyDescent="0.3">
      <c r="A538" s="118" t="str">
        <f>Config!$B$15</f>
        <v>RED</v>
      </c>
      <c r="B538" s="119">
        <f>SUM(B539:B546)</f>
        <v>0</v>
      </c>
      <c r="C538" s="119">
        <f>SUM(C539:C547)</f>
        <v>0</v>
      </c>
      <c r="D538" s="119"/>
      <c r="E538" s="119"/>
      <c r="F538" s="120"/>
      <c r="G538" s="119">
        <f t="shared" ref="G538:G547" si="146">IFERROR(+C538*100/B538,0)</f>
        <v>0</v>
      </c>
      <c r="H538" s="121"/>
      <c r="I538" s="121"/>
      <c r="J538" s="119"/>
      <c r="K538" s="157"/>
      <c r="T538" s="18"/>
      <c r="V538" s="137" t="str">
        <f>$V$1&amp;"  "&amp;V537&amp;"  "&amp;$V$3&amp;"  "&amp;$V$2</f>
        <v>RED. MOYOBAMBA:  RECIEN NACIDOS PREMATUROS (&lt;37 SEMANAS)/ TOTAL DE RN  - POR MICROREDES :   ENERO - MAYO 2022</v>
      </c>
      <c r="W538" s="98"/>
    </row>
    <row r="539" spans="1:26" s="159" customFormat="1" ht="18" hidden="1" customHeight="1" x14ac:dyDescent="0.25">
      <c r="A539" s="126" t="str">
        <f>Config!$B$16</f>
        <v>HOSP</v>
      </c>
      <c r="B539" s="127">
        <f>ACUMULADO!$AT$110</f>
        <v>0</v>
      </c>
      <c r="C539" s="127">
        <f>ACUMULADO!$AT$112</f>
        <v>0</v>
      </c>
      <c r="D539" s="127"/>
      <c r="E539" s="127"/>
      <c r="F539" s="128"/>
      <c r="G539" s="129">
        <f t="shared" si="146"/>
        <v>0</v>
      </c>
      <c r="H539" s="130"/>
      <c r="I539" s="130"/>
      <c r="J539" s="131"/>
      <c r="K539" s="157"/>
      <c r="L539" s="48"/>
      <c r="M539" s="48"/>
      <c r="N539" s="48"/>
      <c r="O539" s="48"/>
      <c r="P539" s="48"/>
      <c r="Q539" s="48"/>
      <c r="R539" s="48"/>
      <c r="S539" s="48"/>
      <c r="T539" s="18"/>
      <c r="U539" s="158"/>
      <c r="V539" s="97" t="e">
        <f>"El gráfico muestra el avance en %,con resultado "&amp;(V540)&amp;",  donde según los diagnosticados es de "&amp;ROUNDUP(B538,0)&amp;" niños. Encontrando un total de "&amp;C538&amp;" seguimientos, y la brecha es "&amp;ROUNDUP(#REF!,0)&amp;" donde el objetivo es al 100 % de seguimiento o control oportuno."</f>
        <v>#REF!</v>
      </c>
      <c r="W539" s="158"/>
      <c r="X539" s="18"/>
      <c r="Y539" s="18"/>
      <c r="Z539" s="18"/>
    </row>
    <row r="540" spans="1:26" s="159" customFormat="1" ht="18" hidden="1" customHeight="1" x14ac:dyDescent="0.25">
      <c r="A540" s="132" t="str">
        <f>Config!$B$17</f>
        <v>LLUI</v>
      </c>
      <c r="B540" s="99">
        <f>ACUMULADO!$AU$110</f>
        <v>0</v>
      </c>
      <c r="C540" s="99">
        <f>ACUMULADO!$AU$112</f>
        <v>0</v>
      </c>
      <c r="D540" s="99"/>
      <c r="E540" s="99"/>
      <c r="F540" s="138"/>
      <c r="G540" s="133">
        <f t="shared" si="146"/>
        <v>0</v>
      </c>
      <c r="H540" s="134"/>
      <c r="I540" s="134"/>
      <c r="J540" s="135"/>
      <c r="K540" s="48"/>
      <c r="L540" s="48"/>
      <c r="M540" s="48"/>
      <c r="N540" s="48"/>
      <c r="O540" s="48"/>
      <c r="P540" s="48"/>
      <c r="Q540" s="48"/>
      <c r="R540" s="48"/>
      <c r="S540" s="48"/>
      <c r="T540" s="18"/>
      <c r="U540" s="158"/>
      <c r="V540" s="97" t="str">
        <f>IF(G538&lt;=$H$3,"DEFICIENTE",IF(G538&gt;$H$3,IF(G538&lt;$I$3,"en PROCESO",IF(G538&gt;=$I$3,"OPTIMO",""))))</f>
        <v>DEFICIENTE</v>
      </c>
      <c r="W540" s="18"/>
      <c r="X540" s="18"/>
      <c r="Y540" s="18"/>
      <c r="Z540" s="18"/>
    </row>
    <row r="541" spans="1:26" s="159" customFormat="1" ht="18" hidden="1" customHeight="1" x14ac:dyDescent="0.25">
      <c r="A541" s="132" t="str">
        <f>Config!$B$18</f>
        <v>JERI</v>
      </c>
      <c r="B541" s="99">
        <f>ACUMULADO!$AV$110</f>
        <v>0</v>
      </c>
      <c r="C541" s="99">
        <f>ACUMULADO!$AV$112</f>
        <v>0</v>
      </c>
      <c r="D541" s="99"/>
      <c r="E541" s="99"/>
      <c r="F541" s="138"/>
      <c r="G541" s="133">
        <f t="shared" si="146"/>
        <v>0</v>
      </c>
      <c r="H541" s="134"/>
      <c r="I541" s="134"/>
      <c r="J541" s="135"/>
      <c r="K541" s="48"/>
      <c r="L541" s="48"/>
      <c r="M541" s="48"/>
      <c r="N541" s="48"/>
      <c r="O541" s="48"/>
      <c r="P541" s="48"/>
      <c r="Q541" s="48"/>
      <c r="R541" s="48"/>
      <c r="S541" s="48"/>
      <c r="T541" s="18"/>
      <c r="U541" s="158"/>
      <c r="V541" s="97"/>
      <c r="W541" s="98"/>
      <c r="X541" s="18"/>
      <c r="Y541" s="18"/>
      <c r="Z541" s="18"/>
    </row>
    <row r="542" spans="1:26" s="159" customFormat="1" ht="18" hidden="1" customHeight="1" x14ac:dyDescent="0.25">
      <c r="A542" s="132" t="str">
        <f>Config!$B$19</f>
        <v>YANT</v>
      </c>
      <c r="B542" s="99">
        <f>ACUMULADO!$AW$110</f>
        <v>0</v>
      </c>
      <c r="C542" s="99">
        <f>ACUMULADO!$AW$112</f>
        <v>0</v>
      </c>
      <c r="D542" s="99"/>
      <c r="E542" s="99"/>
      <c r="F542" s="138"/>
      <c r="G542" s="133">
        <f t="shared" si="146"/>
        <v>0</v>
      </c>
      <c r="H542" s="134"/>
      <c r="I542" s="134"/>
      <c r="J542" s="135"/>
      <c r="K542" s="48"/>
      <c r="L542" s="48"/>
      <c r="M542" s="48"/>
      <c r="N542" s="48"/>
      <c r="O542" s="48"/>
      <c r="P542" s="48"/>
      <c r="Q542" s="48"/>
      <c r="R542" s="48"/>
      <c r="S542" s="48"/>
      <c r="T542" s="18"/>
      <c r="U542" s="158"/>
      <c r="V542" s="97"/>
      <c r="W542" s="98"/>
      <c r="X542" s="18"/>
      <c r="Y542" s="18"/>
      <c r="Z542" s="18"/>
    </row>
    <row r="543" spans="1:26" s="159" customFormat="1" ht="18" hidden="1" customHeight="1" x14ac:dyDescent="0.25">
      <c r="A543" s="132" t="str">
        <f>Config!$B$20</f>
        <v>SORI</v>
      </c>
      <c r="B543" s="99">
        <f>ACUMULADO!$AX$110</f>
        <v>0</v>
      </c>
      <c r="C543" s="99">
        <f>ACUMULADO!$AX$112</f>
        <v>0</v>
      </c>
      <c r="D543" s="99"/>
      <c r="E543" s="99"/>
      <c r="F543" s="138"/>
      <c r="G543" s="133">
        <f t="shared" si="146"/>
        <v>0</v>
      </c>
      <c r="H543" s="134"/>
      <c r="I543" s="134"/>
      <c r="J543" s="135"/>
      <c r="K543" s="48"/>
      <c r="L543" s="48"/>
      <c r="M543" s="48"/>
      <c r="N543" s="48"/>
      <c r="O543" s="48"/>
      <c r="P543" s="48"/>
      <c r="Q543" s="48"/>
      <c r="R543" s="48"/>
      <c r="S543" s="48"/>
      <c r="T543" s="18"/>
      <c r="U543" s="158"/>
      <c r="V543" s="97"/>
      <c r="W543" s="98"/>
      <c r="X543" s="18"/>
      <c r="Y543" s="18"/>
      <c r="Z543" s="18"/>
    </row>
    <row r="544" spans="1:26" s="159" customFormat="1" ht="18" hidden="1" customHeight="1" x14ac:dyDescent="0.25">
      <c r="A544" s="132" t="str">
        <f>Config!$B$21</f>
        <v>JEPE</v>
      </c>
      <c r="B544" s="99">
        <f>ACUMULADO!$AY$110</f>
        <v>0</v>
      </c>
      <c r="C544" s="99">
        <f>ACUMULADO!$AY$112</f>
        <v>0</v>
      </c>
      <c r="D544" s="99"/>
      <c r="E544" s="99"/>
      <c r="F544" s="138"/>
      <c r="G544" s="133">
        <f>IFERROR(+C544*100/B544,0)</f>
        <v>0</v>
      </c>
      <c r="H544" s="134"/>
      <c r="I544" s="134"/>
      <c r="J544" s="135"/>
      <c r="K544" s="48"/>
      <c r="L544" s="48"/>
      <c r="M544" s="48"/>
      <c r="N544" s="48"/>
      <c r="O544" s="48"/>
      <c r="P544" s="48"/>
      <c r="Q544" s="48"/>
      <c r="R544" s="48"/>
      <c r="S544" s="48"/>
      <c r="T544" s="18"/>
      <c r="U544" s="158"/>
      <c r="V544" s="136"/>
      <c r="W544" s="18"/>
      <c r="X544" s="18"/>
      <c r="Y544" s="18"/>
      <c r="Z544" s="18"/>
    </row>
    <row r="545" spans="1:26" s="159" customFormat="1" ht="18" hidden="1" customHeight="1" x14ac:dyDescent="0.25">
      <c r="A545" s="132" t="str">
        <f>Config!$B$22</f>
        <v>ROQU</v>
      </c>
      <c r="B545" s="99">
        <f>ACUMULADO!$AZ$110</f>
        <v>0</v>
      </c>
      <c r="C545" s="99">
        <f>ACUMULADO!$AZ$112</f>
        <v>0</v>
      </c>
      <c r="D545" s="99"/>
      <c r="E545" s="99"/>
      <c r="F545" s="138"/>
      <c r="G545" s="133">
        <f>IFERROR(+C545*100/B545,0)</f>
        <v>0</v>
      </c>
      <c r="H545" s="134"/>
      <c r="I545" s="134"/>
      <c r="J545" s="135"/>
      <c r="K545" s="48"/>
      <c r="L545" s="48"/>
      <c r="M545" s="48"/>
      <c r="N545" s="48"/>
      <c r="O545" s="48"/>
      <c r="P545" s="48"/>
      <c r="Q545" s="48"/>
      <c r="R545" s="48"/>
      <c r="S545" s="48"/>
      <c r="T545" s="18"/>
      <c r="U545" s="158"/>
      <c r="V545" s="165"/>
      <c r="W545" s="158"/>
      <c r="X545" s="18"/>
      <c r="Y545" s="18"/>
      <c r="Z545" s="18"/>
    </row>
    <row r="546" spans="1:26" s="159" customFormat="1" ht="18" hidden="1" customHeight="1" x14ac:dyDescent="0.25">
      <c r="A546" s="132" t="str">
        <f>Config!$B$23</f>
        <v>CALZ</v>
      </c>
      <c r="B546" s="99">
        <f>ACUMULADO!$BA$110</f>
        <v>0</v>
      </c>
      <c r="C546" s="99">
        <f>ACUMULADO!$BA$111</f>
        <v>0</v>
      </c>
      <c r="D546" s="99"/>
      <c r="E546" s="99"/>
      <c r="F546" s="138"/>
      <c r="G546" s="133">
        <f t="shared" si="146"/>
        <v>0</v>
      </c>
      <c r="H546" s="134"/>
      <c r="I546" s="134"/>
      <c r="J546" s="135"/>
      <c r="K546" s="48"/>
      <c r="L546" s="48"/>
      <c r="M546" s="48"/>
      <c r="N546" s="48"/>
      <c r="O546" s="48"/>
      <c r="P546" s="48"/>
      <c r="Q546" s="48"/>
      <c r="R546" s="48"/>
      <c r="S546" s="48"/>
      <c r="T546" s="18"/>
      <c r="U546" s="96"/>
      <c r="V546" s="122"/>
      <c r="W546" s="18"/>
      <c r="X546" s="18"/>
      <c r="Y546" s="18"/>
      <c r="Z546" s="18"/>
    </row>
    <row r="547" spans="1:26" s="159" customFormat="1" ht="18" hidden="1" customHeight="1" x14ac:dyDescent="0.25">
      <c r="A547" s="132" t="str">
        <f>Config!$B$24</f>
        <v>PUEB</v>
      </c>
      <c r="B547" s="99">
        <f>ACUMULADO!$BB$110</f>
        <v>0</v>
      </c>
      <c r="C547" s="99">
        <f>ACUMULADO!$BB$112</f>
        <v>0</v>
      </c>
      <c r="D547" s="99"/>
      <c r="E547" s="99"/>
      <c r="F547" s="138"/>
      <c r="G547" s="133">
        <f t="shared" si="146"/>
        <v>0</v>
      </c>
      <c r="H547" s="134"/>
      <c r="I547" s="134"/>
      <c r="J547" s="135"/>
      <c r="K547" s="157"/>
      <c r="L547" s="48"/>
      <c r="M547" s="48"/>
      <c r="N547" s="48"/>
      <c r="O547" s="48"/>
      <c r="P547" s="48"/>
      <c r="Q547" s="48"/>
      <c r="R547" s="48"/>
      <c r="S547" s="48"/>
      <c r="T547" s="18"/>
      <c r="U547" s="98"/>
      <c r="V547" s="165"/>
      <c r="W547" s="18"/>
      <c r="X547" s="18"/>
      <c r="Y547" s="18"/>
      <c r="Z547" s="18"/>
    </row>
    <row r="548" spans="1:26" s="159" customFormat="1" ht="18" hidden="1" customHeight="1" x14ac:dyDescent="0.25">
      <c r="A548" s="163" t="s">
        <v>216</v>
      </c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18"/>
      <c r="U548" s="96"/>
      <c r="V548" s="122"/>
      <c r="W548" s="18"/>
      <c r="X548" s="18"/>
      <c r="Y548" s="18"/>
      <c r="Z548" s="18"/>
    </row>
    <row r="549" spans="1:26" s="159" customFormat="1" ht="18" hidden="1" customHeight="1" x14ac:dyDescent="0.25">
      <c r="A549" s="163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18"/>
      <c r="U549" s="96"/>
      <c r="V549" s="122"/>
      <c r="W549" s="18"/>
      <c r="X549" s="18"/>
      <c r="Y549" s="18"/>
      <c r="Z549" s="18"/>
    </row>
    <row r="550" spans="1:26" s="159" customFormat="1" ht="18" hidden="1" customHeight="1" x14ac:dyDescent="0.25">
      <c r="A550" s="163"/>
      <c r="K550" s="48"/>
      <c r="L550" s="48"/>
      <c r="M550" s="48"/>
      <c r="N550" s="48"/>
      <c r="O550" s="48"/>
      <c r="P550" s="48"/>
      <c r="Q550" s="48"/>
      <c r="R550" s="48"/>
      <c r="S550" s="48"/>
      <c r="T550" s="18"/>
      <c r="U550" s="96"/>
      <c r="V550" s="122"/>
      <c r="W550" s="18"/>
      <c r="X550" s="18"/>
      <c r="Y550" s="18"/>
      <c r="Z550" s="18"/>
    </row>
    <row r="551" spans="1:26" s="159" customFormat="1" ht="18" hidden="1" customHeight="1" x14ac:dyDescent="0.25">
      <c r="A551" s="163"/>
      <c r="K551" s="48"/>
      <c r="L551" s="48"/>
      <c r="M551" s="48"/>
      <c r="N551" s="48"/>
      <c r="O551" s="48"/>
      <c r="P551" s="48"/>
      <c r="Q551" s="48"/>
      <c r="R551" s="48"/>
      <c r="S551" s="48"/>
      <c r="T551" s="18"/>
      <c r="U551" s="96"/>
      <c r="V551" s="122"/>
      <c r="W551" s="18"/>
      <c r="X551" s="18"/>
      <c r="Y551" s="18"/>
      <c r="Z551" s="18"/>
    </row>
    <row r="552" spans="1:26" s="159" customFormat="1" ht="18" hidden="1" customHeight="1" x14ac:dyDescent="0.25">
      <c r="A552" s="163"/>
      <c r="K552" s="48"/>
      <c r="L552" s="48"/>
      <c r="M552" s="48"/>
      <c r="N552" s="48"/>
      <c r="O552" s="48"/>
      <c r="P552" s="48"/>
      <c r="Q552" s="48"/>
      <c r="R552" s="48"/>
      <c r="S552" s="48"/>
      <c r="T552" s="18"/>
      <c r="U552" s="96"/>
      <c r="V552" s="122"/>
      <c r="W552" s="18"/>
      <c r="X552" s="18"/>
      <c r="Y552" s="18"/>
      <c r="Z552" s="18"/>
    </row>
    <row r="553" spans="1:26" s="159" customFormat="1" ht="18" hidden="1" customHeight="1" x14ac:dyDescent="0.25">
      <c r="A553" s="163"/>
      <c r="K553" s="48"/>
      <c r="L553" s="48"/>
      <c r="M553" s="48"/>
      <c r="N553" s="48"/>
      <c r="O553" s="48"/>
      <c r="P553" s="48"/>
      <c r="Q553" s="48"/>
      <c r="R553" s="48"/>
      <c r="S553" s="48"/>
      <c r="T553" s="18"/>
      <c r="U553" s="96"/>
      <c r="V553" s="122"/>
      <c r="W553" s="18"/>
      <c r="X553" s="18"/>
      <c r="Y553" s="18"/>
      <c r="Z553" s="18"/>
    </row>
    <row r="554" spans="1:26" s="159" customFormat="1" ht="18" hidden="1" customHeight="1" x14ac:dyDescent="0.25">
      <c r="A554" s="139"/>
      <c r="B554" s="103"/>
      <c r="C554" s="101"/>
      <c r="D554" s="103"/>
      <c r="E554" s="103"/>
      <c r="F554" s="103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18"/>
      <c r="U554" s="158"/>
      <c r="V554" s="122"/>
      <c r="W554" s="158"/>
      <c r="X554" s="18"/>
      <c r="Y554" s="18"/>
      <c r="Z554" s="18"/>
    </row>
    <row r="555" spans="1:26" hidden="1" x14ac:dyDescent="0.25"/>
    <row r="556" spans="1:26" hidden="1" x14ac:dyDescent="0.25"/>
  </sheetData>
  <pageMargins left="0.31496062992125984" right="0.31496062992125984" top="0.59055118110236227" bottom="0.31496062992125984" header="0.31496062992125984" footer="0.31496062992125984"/>
  <pageSetup paperSize="9" scale="96" orientation="portrait" r:id="rId1"/>
  <rowBreaks count="1" manualBreakCount="1">
    <brk id="41" min="1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EEF1CB"/>
  </sheetPr>
  <dimension ref="A1:AS267"/>
  <sheetViews>
    <sheetView showGridLines="0" zoomScale="85" zoomScaleNormal="85" zoomScaleSheetLayoutView="85" workbookViewId="0">
      <selection activeCell="B114" sqref="B114"/>
    </sheetView>
  </sheetViews>
  <sheetFormatPr baseColWidth="10" defaultColWidth="11.42578125" defaultRowHeight="15" x14ac:dyDescent="0.25"/>
  <cols>
    <col min="1" max="1" width="19.140625" style="5" customWidth="1"/>
    <col min="2" max="2" width="7.7109375" style="48" customWidth="1"/>
    <col min="3" max="3" width="8.42578125" style="101" customWidth="1"/>
    <col min="4" max="4" width="8.140625" style="102" customWidth="1"/>
    <col min="5" max="5" width="9" style="102" customWidth="1"/>
    <col min="6" max="6" width="7.5703125" style="103" customWidth="1"/>
    <col min="7" max="7" width="6.5703125" style="103" customWidth="1"/>
    <col min="8" max="8" width="8.5703125" style="103" customWidth="1"/>
    <col min="9" max="9" width="8.5703125" style="159" customWidth="1"/>
    <col min="10" max="10" width="7.85546875" style="159" customWidth="1"/>
    <col min="11" max="11" width="6.28515625" style="48" customWidth="1"/>
    <col min="12" max="12" width="1.5703125" style="48" customWidth="1"/>
    <col min="13" max="13" width="14.42578125" style="48" customWidth="1"/>
    <col min="14" max="14" width="12.5703125" style="48" customWidth="1"/>
    <col min="15" max="15" width="16.28515625" style="48" customWidth="1"/>
    <col min="16" max="16" width="25.140625" style="48" customWidth="1"/>
    <col min="17" max="17" width="13" style="48" customWidth="1"/>
    <col min="18" max="18" width="12.42578125" style="48" customWidth="1"/>
    <col min="19" max="19" width="1.85546875" style="48" customWidth="1"/>
    <col min="20" max="20" width="1.42578125" style="18" customWidth="1"/>
    <col min="21" max="21" width="2.5703125" style="96" customWidth="1"/>
    <col min="22" max="22" width="20.28515625" style="94" customWidth="1"/>
    <col min="23" max="23" width="15.85546875" style="18" customWidth="1"/>
    <col min="24" max="24" width="22.7109375" style="18" customWidth="1"/>
    <col min="25" max="25" width="15.28515625" style="18" customWidth="1"/>
    <col min="26" max="26" width="16.85546875" style="18" customWidth="1"/>
    <col min="27" max="27" width="2" style="18" customWidth="1"/>
    <col min="28" max="28" width="7.85546875" style="48" customWidth="1"/>
    <col min="29" max="32" width="11.42578125" style="48"/>
    <col min="33" max="33" width="11.42578125" style="6"/>
    <col min="34" max="37" width="11.42578125" style="48"/>
    <col min="38" max="38" width="26.7109375" style="48" customWidth="1"/>
    <col min="39" max="39" width="11.42578125" style="48"/>
    <col min="40" max="40" width="11.140625" style="48" customWidth="1"/>
    <col min="41" max="41" width="10.5703125" style="48" customWidth="1"/>
    <col min="42" max="16384" width="11.42578125" style="48"/>
  </cols>
  <sheetData>
    <row r="1" spans="1:43" ht="18" customHeight="1" x14ac:dyDescent="0.25">
      <c r="B1" s="205" t="s">
        <v>251</v>
      </c>
      <c r="E1" s="205" t="s">
        <v>15</v>
      </c>
      <c r="F1" s="205"/>
      <c r="H1" s="6" t="s">
        <v>16</v>
      </c>
      <c r="I1" s="6"/>
      <c r="J1" s="48"/>
      <c r="T1" s="48"/>
      <c r="V1" s="98" t="str">
        <f>Config!$B$2</f>
        <v>RED. MOYOBAMBA:</v>
      </c>
      <c r="AA1" s="36"/>
      <c r="AB1" s="36"/>
      <c r="AC1" s="36"/>
      <c r="AD1" s="18"/>
      <c r="AE1" s="18"/>
      <c r="AF1" s="18"/>
      <c r="AG1" s="149"/>
    </row>
    <row r="2" spans="1:43" ht="18" customHeight="1" x14ac:dyDescent="0.25">
      <c r="B2" s="99" t="s">
        <v>14</v>
      </c>
      <c r="C2" s="99" t="s">
        <v>12</v>
      </c>
      <c r="E2" s="99" t="s">
        <v>14</v>
      </c>
      <c r="F2" s="99" t="s">
        <v>12</v>
      </c>
      <c r="G2" s="48"/>
      <c r="H2" s="99" t="s">
        <v>14</v>
      </c>
      <c r="I2" s="99" t="s">
        <v>12</v>
      </c>
      <c r="J2" s="48"/>
      <c r="T2" s="48"/>
      <c r="V2" s="98" t="str">
        <f>Config!$C$12&amp;" - " &amp; Config!$D$12  &amp;" "&amp;Config!$E$12</f>
        <v>ENERO - MAYO 2022</v>
      </c>
      <c r="AA2" s="36"/>
      <c r="AB2" s="36"/>
      <c r="AC2" s="36"/>
      <c r="AD2" s="18"/>
      <c r="AE2" s="18"/>
      <c r="AF2" s="18"/>
      <c r="AG2" s="149"/>
    </row>
    <row r="3" spans="1:43" ht="18" customHeight="1" x14ac:dyDescent="0.25">
      <c r="B3" s="100">
        <v>20</v>
      </c>
      <c r="C3" s="100">
        <v>10</v>
      </c>
      <c r="E3" s="100">
        <f>Config!$G$3</f>
        <v>37.5</v>
      </c>
      <c r="F3" s="100">
        <f>Config!$I$3</f>
        <v>41.7</v>
      </c>
      <c r="H3" s="100">
        <f>Config!$K$3</f>
        <v>90</v>
      </c>
      <c r="I3" s="100">
        <f>Config!$M$3</f>
        <v>100</v>
      </c>
      <c r="J3" s="48"/>
      <c r="T3" s="48"/>
      <c r="V3" s="98" t="str">
        <f>Config!$B$3</f>
        <v xml:space="preserve">- POR MICROREDES : </v>
      </c>
      <c r="AA3" s="36"/>
      <c r="AB3" s="36"/>
      <c r="AC3" s="36"/>
      <c r="AD3" s="18"/>
      <c r="AE3" s="18"/>
      <c r="AF3" s="18"/>
      <c r="AG3" s="149"/>
    </row>
    <row r="4" spans="1:43" ht="18" customHeight="1" x14ac:dyDescent="0.25">
      <c r="G4" s="48"/>
      <c r="H4" s="48"/>
      <c r="I4" s="48"/>
      <c r="J4" s="48"/>
      <c r="T4" s="48"/>
      <c r="V4" s="98" t="str">
        <f>Config!$B$4</f>
        <v>FUENTE: HISMINSA - Oficina de Gestión de la  Información Red. Moyobamba</v>
      </c>
      <c r="AA4" s="36"/>
      <c r="AB4" s="36"/>
      <c r="AC4" s="36"/>
      <c r="AD4" s="18"/>
      <c r="AE4" s="18"/>
      <c r="AF4" s="18"/>
      <c r="AG4" s="149"/>
    </row>
    <row r="5" spans="1:43" s="159" customFormat="1" ht="18" customHeight="1" x14ac:dyDescent="0.25">
      <c r="A5" s="5" t="str">
        <f>METAS!$B$102</f>
        <v xml:space="preserve"> PROPORCIÓN DE NIÑOS  MENORES DE 5 AÑOS  DE EDAD CON DCI </v>
      </c>
      <c r="B5" s="48"/>
      <c r="C5" s="101"/>
      <c r="D5" s="102"/>
      <c r="E5" s="177"/>
      <c r="F5" s="178"/>
      <c r="G5" s="177"/>
      <c r="H5" s="179">
        <v>6.4</v>
      </c>
      <c r="I5" s="180"/>
      <c r="J5" s="181">
        <v>8.1</v>
      </c>
      <c r="K5" s="48"/>
      <c r="L5" s="48"/>
      <c r="M5" s="48"/>
      <c r="N5" s="48"/>
      <c r="O5" s="48"/>
      <c r="P5" s="48"/>
      <c r="Q5" s="48"/>
      <c r="R5" s="48"/>
      <c r="S5" s="48"/>
      <c r="T5" s="48"/>
      <c r="U5" s="158"/>
      <c r="V5" s="94"/>
      <c r="W5" s="18"/>
      <c r="X5" s="18"/>
      <c r="Y5" s="18"/>
      <c r="Z5" s="158"/>
      <c r="AA5" s="18"/>
      <c r="AB5" s="18"/>
      <c r="AC5" s="18"/>
      <c r="AD5" s="18"/>
      <c r="AE5" s="18"/>
      <c r="AF5" s="18"/>
      <c r="AG5" s="149"/>
      <c r="AH5" s="48"/>
      <c r="AI5" s="48"/>
      <c r="AJ5" s="48"/>
      <c r="AL5" s="48" t="str">
        <f t="shared" ref="AL5:AL15" si="0">A5</f>
        <v xml:space="preserve"> PROPORCIÓN DE NIÑOS  MENORES DE 5 AÑOS  DE EDAD CON DCI </v>
      </c>
      <c r="AM5" s="48"/>
      <c r="AN5" s="48"/>
      <c r="AO5" s="48"/>
      <c r="AP5" s="48"/>
      <c r="AQ5" s="48"/>
    </row>
    <row r="6" spans="1:43" s="159" customFormat="1" ht="48" customHeight="1" thickBot="1" x14ac:dyDescent="0.3">
      <c r="A6" s="107" t="s">
        <v>2</v>
      </c>
      <c r="B6" s="108" t="s">
        <v>221</v>
      </c>
      <c r="C6" s="109" t="s">
        <v>192</v>
      </c>
      <c r="D6" s="108" t="s">
        <v>273</v>
      </c>
      <c r="E6" s="108"/>
      <c r="F6" s="110" t="s">
        <v>272</v>
      </c>
      <c r="G6" s="111" t="s">
        <v>11</v>
      </c>
      <c r="H6" s="112" t="str">
        <f>"DEFICIENTE &gt;= "&amp;$J$5</f>
        <v>DEFICIENTE &gt;= 8,1</v>
      </c>
      <c r="I6" s="112" t="str">
        <f>"PROCESO &gt; "&amp;$H$5&amp;"  -  &lt; "&amp;$J$5</f>
        <v>PROCESO &gt; 6,4  -  &lt; 8,1</v>
      </c>
      <c r="J6" s="112" t="str">
        <f>"OPTIMO &lt;= "&amp;$H$5</f>
        <v>OPTIMO &lt;= 6,4</v>
      </c>
      <c r="K6" s="182"/>
      <c r="L6" s="48"/>
      <c r="M6" s="48"/>
      <c r="N6" s="48"/>
      <c r="O6" s="48"/>
      <c r="P6" s="48"/>
      <c r="Q6" s="48"/>
      <c r="R6" s="48"/>
      <c r="S6" s="48"/>
      <c r="T6" s="48"/>
      <c r="U6" s="158"/>
      <c r="V6" s="98" t="str">
        <f>A5</f>
        <v xml:space="preserve"> PROPORCIÓN DE NIÑOS  MENORES DE 5 AÑOS  DE EDAD CON DCI </v>
      </c>
      <c r="W6" s="18"/>
      <c r="X6" s="18"/>
      <c r="Y6" s="18"/>
      <c r="Z6" s="158"/>
      <c r="AA6" s="18"/>
      <c r="AB6" s="18"/>
      <c r="AC6" s="18"/>
      <c r="AD6" s="18"/>
      <c r="AE6" s="18"/>
      <c r="AF6" s="18"/>
      <c r="AG6" s="149"/>
      <c r="AH6" s="48"/>
      <c r="AI6" s="48"/>
      <c r="AJ6" s="48"/>
      <c r="AL6" s="113" t="str">
        <f t="shared" si="0"/>
        <v>ESTABLECIMIENTOS</v>
      </c>
      <c r="AM6" s="114" t="s">
        <v>222</v>
      </c>
      <c r="AN6" s="115" t="str">
        <f t="shared" ref="AN6:AN15" si="1">D6</f>
        <v>DCI. HIS</v>
      </c>
      <c r="AO6" s="116" t="e">
        <f>#REF!</f>
        <v>#REF!</v>
      </c>
      <c r="AP6" s="116" t="s">
        <v>223</v>
      </c>
      <c r="AQ6" s="117" t="s">
        <v>224</v>
      </c>
    </row>
    <row r="7" spans="1:43" ht="18" customHeight="1" thickBot="1" x14ac:dyDescent="0.3">
      <c r="A7" s="118" t="str">
        <f>Config!$B$15</f>
        <v>RED</v>
      </c>
      <c r="B7" s="119">
        <f>SUM(B8:B16)</f>
        <v>12928</v>
      </c>
      <c r="C7" s="119">
        <f>SUM(C8:C16)</f>
        <v>5390</v>
      </c>
      <c r="D7" s="119">
        <f>SUM(D8:D16)</f>
        <v>88</v>
      </c>
      <c r="E7" s="119"/>
      <c r="F7" s="120">
        <v>6.4</v>
      </c>
      <c r="G7" s="119">
        <f>IFERROR(D7*100/C7,0)</f>
        <v>1.6326530612244898</v>
      </c>
      <c r="H7" s="121" t="str">
        <f>IF(G7&gt;$J$5,G7,"")</f>
        <v/>
      </c>
      <c r="I7" s="121" t="str">
        <f>IF(AND(G7&gt;=$H$5, G7&lt;=$J$5),G7,"")</f>
        <v/>
      </c>
      <c r="J7" s="119">
        <f>IF(G7&lt;$H$5,G7,"")</f>
        <v>1.6326530612244898</v>
      </c>
      <c r="K7" s="182"/>
      <c r="T7" s="48"/>
      <c r="V7" s="137" t="str">
        <f>$V$1&amp;"  "&amp;V6&amp;"  "&amp;$V$3&amp;"  "&amp;$V$2</f>
        <v>RED. MOYOBAMBA:   PROPORCIÓN DE NIÑOS  MENORES DE 5 AÑOS  DE EDAD CON DCI   - POR MICROREDES :   ENERO - MAYO 2022</v>
      </c>
      <c r="AB7" s="18"/>
      <c r="AC7" s="18"/>
      <c r="AD7" s="18"/>
      <c r="AE7" s="18"/>
      <c r="AF7" s="18"/>
      <c r="AG7" s="149"/>
      <c r="AL7" s="123" t="str">
        <f t="shared" si="0"/>
        <v>RED</v>
      </c>
      <c r="AM7" s="124">
        <f t="shared" ref="AM7:AM15" si="2">C7</f>
        <v>5390</v>
      </c>
      <c r="AN7" s="125">
        <f t="shared" si="1"/>
        <v>88</v>
      </c>
      <c r="AO7" s="124" t="e">
        <f>#REF!</f>
        <v>#REF!</v>
      </c>
      <c r="AP7" s="125">
        <f t="shared" ref="AP7:AP15" si="3">G7</f>
        <v>1.6326530612244898</v>
      </c>
      <c r="AQ7" s="125" t="e">
        <f>#REF!</f>
        <v>#REF!</v>
      </c>
    </row>
    <row r="8" spans="1:43" s="159" customFormat="1" ht="18" hidden="1" customHeight="1" x14ac:dyDescent="0.25">
      <c r="A8" s="132" t="str">
        <f>Config!$B$16</f>
        <v>HOSP</v>
      </c>
      <c r="B8" s="127">
        <f>METAS!$AR$102</f>
        <v>0</v>
      </c>
      <c r="C8" s="127">
        <f>ROUNDUP((B8/12)*Config!$C$6,0)</f>
        <v>0</v>
      </c>
      <c r="D8" s="127">
        <f>ACUMULADO!$AT$15</f>
        <v>2</v>
      </c>
      <c r="E8" s="99"/>
      <c r="F8" s="138">
        <f>F7</f>
        <v>6.4</v>
      </c>
      <c r="G8" s="133">
        <f>IFERROR(D8*100/C8,0)</f>
        <v>0</v>
      </c>
      <c r="H8" s="134" t="str">
        <f t="shared" ref="H8:H15" si="4">IF(G8&gt;$J$5,G8,"")</f>
        <v/>
      </c>
      <c r="I8" s="134" t="str">
        <f t="shared" ref="I8:I15" si="5">IF(AND(G8&gt;=$H$5, G8&lt;=$J$5),G8,"")</f>
        <v/>
      </c>
      <c r="J8" s="135">
        <f t="shared" ref="J8:J15" si="6">IF(G8&lt;$H$5,G8,"")</f>
        <v>0</v>
      </c>
      <c r="K8" s="182"/>
      <c r="L8" s="48"/>
      <c r="M8" s="48"/>
      <c r="N8" s="48"/>
      <c r="O8" s="48"/>
      <c r="P8" s="48"/>
      <c r="Q8" s="48"/>
      <c r="R8" s="48"/>
      <c r="S8" s="48"/>
      <c r="T8" s="48"/>
      <c r="U8" s="158"/>
      <c r="V8" s="48"/>
      <c r="W8" s="18"/>
      <c r="X8" s="18"/>
      <c r="Y8" s="18"/>
      <c r="Z8" s="158"/>
      <c r="AA8" s="18"/>
      <c r="AB8" s="18"/>
      <c r="AC8" s="18"/>
      <c r="AD8" s="18"/>
      <c r="AE8" s="18"/>
      <c r="AF8" s="18"/>
      <c r="AG8" s="149"/>
      <c r="AH8" s="48"/>
      <c r="AI8" s="48"/>
      <c r="AJ8" s="48"/>
      <c r="AL8" s="49" t="str">
        <f t="shared" si="0"/>
        <v>HOSP</v>
      </c>
      <c r="AM8" s="51">
        <f t="shared" si="2"/>
        <v>0</v>
      </c>
      <c r="AN8" s="50">
        <f t="shared" si="1"/>
        <v>2</v>
      </c>
      <c r="AO8" s="51" t="e">
        <f>#REF!</f>
        <v>#REF!</v>
      </c>
      <c r="AP8" s="183">
        <f t="shared" si="3"/>
        <v>0</v>
      </c>
      <c r="AQ8" s="184" t="e">
        <f>#REF!</f>
        <v>#REF!</v>
      </c>
    </row>
    <row r="9" spans="1:43" s="159" customFormat="1" ht="18" customHeight="1" x14ac:dyDescent="0.25">
      <c r="A9" s="132" t="str">
        <f>Config!$B$17</f>
        <v>LLUI</v>
      </c>
      <c r="B9" s="127">
        <f>METAS!$AS$102</f>
        <v>5364</v>
      </c>
      <c r="C9" s="99">
        <f>ROUNDUP((B9/12)*Config!$C$6,0)</f>
        <v>2235</v>
      </c>
      <c r="D9" s="127">
        <f>ACUMULADO!$AU$15</f>
        <v>5</v>
      </c>
      <c r="E9" s="99"/>
      <c r="F9" s="138">
        <f t="shared" ref="F9:F16" si="7">F8</f>
        <v>6.4</v>
      </c>
      <c r="G9" s="133">
        <f t="shared" ref="G9:G15" si="8">IFERROR(D9*100/C9,0)</f>
        <v>0.22371364653243847</v>
      </c>
      <c r="H9" s="134" t="str">
        <f t="shared" si="4"/>
        <v/>
      </c>
      <c r="I9" s="134" t="str">
        <f t="shared" si="5"/>
        <v/>
      </c>
      <c r="J9" s="135">
        <f t="shared" si="6"/>
        <v>0.22371364653243847</v>
      </c>
      <c r="K9" s="182"/>
      <c r="L9" s="48"/>
      <c r="M9" s="48"/>
      <c r="N9" s="48"/>
      <c r="O9" s="48"/>
      <c r="P9" s="48"/>
      <c r="Q9" s="48"/>
      <c r="R9" s="48"/>
      <c r="S9" s="48"/>
      <c r="T9" s="48"/>
      <c r="U9" s="158"/>
      <c r="V9" s="1"/>
      <c r="W9" s="148"/>
      <c r="X9" s="18"/>
      <c r="Y9" s="18"/>
      <c r="Z9" s="158"/>
      <c r="AA9" s="18"/>
      <c r="AB9" s="18"/>
      <c r="AC9" s="18"/>
      <c r="AD9" s="18"/>
      <c r="AE9" s="18"/>
      <c r="AF9" s="18"/>
      <c r="AG9" s="149"/>
      <c r="AH9" s="48"/>
      <c r="AI9" s="48"/>
      <c r="AJ9" s="48"/>
      <c r="AL9" s="49" t="str">
        <f t="shared" si="0"/>
        <v>LLUI</v>
      </c>
      <c r="AM9" s="51">
        <f t="shared" si="2"/>
        <v>2235</v>
      </c>
      <c r="AN9" s="50">
        <f t="shared" si="1"/>
        <v>5</v>
      </c>
      <c r="AO9" s="51" t="e">
        <f>#REF!</f>
        <v>#REF!</v>
      </c>
      <c r="AP9" s="183">
        <f t="shared" si="3"/>
        <v>0.22371364653243847</v>
      </c>
      <c r="AQ9" s="184" t="e">
        <f>#REF!</f>
        <v>#REF!</v>
      </c>
    </row>
    <row r="10" spans="1:43" s="159" customFormat="1" ht="18" customHeight="1" x14ac:dyDescent="0.25">
      <c r="A10" s="132" t="str">
        <f>Config!$B$18</f>
        <v>JERI</v>
      </c>
      <c r="B10" s="127">
        <f>METAS!$AT$102</f>
        <v>534</v>
      </c>
      <c r="C10" s="99">
        <f>ROUNDUP((B10/12)*Config!$C$6,0)</f>
        <v>223</v>
      </c>
      <c r="D10" s="127">
        <f>ACUMULADO!$AV$15</f>
        <v>0</v>
      </c>
      <c r="E10" s="99"/>
      <c r="F10" s="138">
        <f t="shared" si="7"/>
        <v>6.4</v>
      </c>
      <c r="G10" s="133">
        <f t="shared" si="8"/>
        <v>0</v>
      </c>
      <c r="H10" s="134" t="str">
        <f t="shared" si="4"/>
        <v/>
      </c>
      <c r="I10" s="134" t="str">
        <f t="shared" si="5"/>
        <v/>
      </c>
      <c r="J10" s="135">
        <f t="shared" si="6"/>
        <v>0</v>
      </c>
      <c r="K10" s="182"/>
      <c r="L10" s="48"/>
      <c r="M10" s="48"/>
      <c r="N10" s="48"/>
      <c r="O10" s="48"/>
      <c r="P10" s="48"/>
      <c r="Q10" s="48"/>
      <c r="R10" s="48"/>
      <c r="S10" s="48"/>
      <c r="T10" s="48"/>
      <c r="U10" s="158"/>
      <c r="V10" s="48"/>
      <c r="W10" s="18"/>
      <c r="X10" s="18"/>
      <c r="Y10" s="18"/>
      <c r="Z10" s="158"/>
      <c r="AA10" s="18"/>
      <c r="AB10" s="18"/>
      <c r="AC10" s="18"/>
      <c r="AD10" s="18"/>
      <c r="AE10" s="18"/>
      <c r="AF10" s="18"/>
      <c r="AG10" s="149"/>
      <c r="AH10" s="48"/>
      <c r="AI10" s="48"/>
      <c r="AJ10" s="48"/>
      <c r="AL10" s="49" t="str">
        <f t="shared" si="0"/>
        <v>JERI</v>
      </c>
      <c r="AM10" s="51">
        <f t="shared" si="2"/>
        <v>223</v>
      </c>
      <c r="AN10" s="50">
        <f t="shared" si="1"/>
        <v>0</v>
      </c>
      <c r="AO10" s="51" t="e">
        <f>#REF!</f>
        <v>#REF!</v>
      </c>
      <c r="AP10" s="183">
        <f t="shared" si="3"/>
        <v>0</v>
      </c>
      <c r="AQ10" s="184" t="e">
        <f>#REF!</f>
        <v>#REF!</v>
      </c>
    </row>
    <row r="11" spans="1:43" s="159" customFormat="1" ht="18" customHeight="1" x14ac:dyDescent="0.25">
      <c r="A11" s="132" t="str">
        <f>Config!$B$19</f>
        <v>YANT</v>
      </c>
      <c r="B11" s="127">
        <f>METAS!$AU$102</f>
        <v>969</v>
      </c>
      <c r="C11" s="99">
        <f>ROUNDUP((B11/12)*Config!$C$6,0)</f>
        <v>404</v>
      </c>
      <c r="D11" s="127">
        <f>ACUMULADO!$AW$15</f>
        <v>13</v>
      </c>
      <c r="E11" s="99"/>
      <c r="F11" s="138">
        <f t="shared" si="7"/>
        <v>6.4</v>
      </c>
      <c r="G11" s="133">
        <f t="shared" si="8"/>
        <v>3.217821782178218</v>
      </c>
      <c r="H11" s="134" t="str">
        <f t="shared" si="4"/>
        <v/>
      </c>
      <c r="I11" s="134" t="str">
        <f t="shared" si="5"/>
        <v/>
      </c>
      <c r="J11" s="135">
        <f t="shared" si="6"/>
        <v>3.217821782178218</v>
      </c>
      <c r="K11" s="182"/>
      <c r="L11" s="48"/>
      <c r="M11" s="48"/>
      <c r="N11" s="48"/>
      <c r="O11" s="48"/>
      <c r="P11" s="48"/>
      <c r="Q11" s="48"/>
      <c r="R11" s="48"/>
      <c r="S11" s="48"/>
      <c r="T11" s="48"/>
      <c r="U11" s="158"/>
      <c r="V11" s="48"/>
      <c r="W11" s="18"/>
      <c r="X11" s="18"/>
      <c r="Y11" s="18"/>
      <c r="Z11" s="158"/>
      <c r="AA11" s="18"/>
      <c r="AB11" s="18"/>
      <c r="AC11" s="18"/>
      <c r="AD11" s="18"/>
      <c r="AE11" s="18"/>
      <c r="AF11" s="18"/>
      <c r="AG11" s="149"/>
      <c r="AH11" s="48"/>
      <c r="AI11" s="48"/>
      <c r="AJ11" s="48"/>
      <c r="AL11" s="49" t="str">
        <f t="shared" si="0"/>
        <v>YANT</v>
      </c>
      <c r="AM11" s="51">
        <f t="shared" si="2"/>
        <v>404</v>
      </c>
      <c r="AN11" s="50">
        <f t="shared" si="1"/>
        <v>13</v>
      </c>
      <c r="AO11" s="51" t="e">
        <f>#REF!</f>
        <v>#REF!</v>
      </c>
      <c r="AP11" s="183">
        <f t="shared" si="3"/>
        <v>3.217821782178218</v>
      </c>
      <c r="AQ11" s="184" t="e">
        <f>#REF!</f>
        <v>#REF!</v>
      </c>
    </row>
    <row r="12" spans="1:43" s="159" customFormat="1" ht="18" customHeight="1" x14ac:dyDescent="0.25">
      <c r="A12" s="132" t="str">
        <f>Config!$B$20</f>
        <v>SORI</v>
      </c>
      <c r="B12" s="127">
        <f>METAS!$AV$102</f>
        <v>2507</v>
      </c>
      <c r="C12" s="99">
        <f>ROUNDUP((B12/12)*Config!$C$6,0)</f>
        <v>1045</v>
      </c>
      <c r="D12" s="127">
        <f>ACUMULADO!$AX$15</f>
        <v>57</v>
      </c>
      <c r="E12" s="99"/>
      <c r="F12" s="138">
        <f t="shared" si="7"/>
        <v>6.4</v>
      </c>
      <c r="G12" s="133">
        <f t="shared" si="8"/>
        <v>5.4545454545454541</v>
      </c>
      <c r="H12" s="134" t="str">
        <f t="shared" si="4"/>
        <v/>
      </c>
      <c r="I12" s="134" t="str">
        <f t="shared" si="5"/>
        <v/>
      </c>
      <c r="J12" s="135">
        <f t="shared" si="6"/>
        <v>5.4545454545454541</v>
      </c>
      <c r="K12" s="182"/>
      <c r="L12" s="48"/>
      <c r="M12" s="48"/>
      <c r="N12" s="48"/>
      <c r="O12" s="48"/>
      <c r="P12" s="48"/>
      <c r="Q12" s="48"/>
      <c r="R12" s="48"/>
      <c r="S12" s="48"/>
      <c r="T12" s="48"/>
      <c r="U12" s="158"/>
      <c r="V12" s="48"/>
      <c r="W12" s="18"/>
      <c r="X12" s="18"/>
      <c r="Y12" s="18"/>
      <c r="Z12" s="158"/>
      <c r="AA12" s="18"/>
      <c r="AB12" s="18"/>
      <c r="AC12" s="18"/>
      <c r="AD12" s="18"/>
      <c r="AE12" s="18"/>
      <c r="AF12" s="18"/>
      <c r="AG12" s="149"/>
      <c r="AH12" s="48"/>
      <c r="AI12" s="48"/>
      <c r="AJ12" s="48"/>
      <c r="AL12" s="49" t="str">
        <f t="shared" si="0"/>
        <v>SORI</v>
      </c>
      <c r="AM12" s="51">
        <f t="shared" si="2"/>
        <v>1045</v>
      </c>
      <c r="AN12" s="50">
        <f t="shared" si="1"/>
        <v>57</v>
      </c>
      <c r="AO12" s="51" t="e">
        <f>#REF!</f>
        <v>#REF!</v>
      </c>
      <c r="AP12" s="183">
        <f t="shared" si="3"/>
        <v>5.4545454545454541</v>
      </c>
      <c r="AQ12" s="184" t="e">
        <f>#REF!</f>
        <v>#REF!</v>
      </c>
    </row>
    <row r="13" spans="1:43" s="159" customFormat="1" ht="18" customHeight="1" x14ac:dyDescent="0.25">
      <c r="A13" s="132" t="str">
        <f>Config!$B$21</f>
        <v>JEPE</v>
      </c>
      <c r="B13" s="127">
        <f>METAS!$AW$102</f>
        <v>1033</v>
      </c>
      <c r="C13" s="99">
        <f>ROUNDUP((B13/12)*Config!$C$6,0)</f>
        <v>431</v>
      </c>
      <c r="D13" s="127">
        <f>ACUMULADO!$AY$15</f>
        <v>2</v>
      </c>
      <c r="E13" s="99"/>
      <c r="F13" s="138">
        <f t="shared" si="7"/>
        <v>6.4</v>
      </c>
      <c r="G13" s="133">
        <f>IFERROR(D13*100/C13,0)</f>
        <v>0.46403712296983757</v>
      </c>
      <c r="H13" s="134" t="str">
        <f>IF(G13&gt;$J$5,G13,"")</f>
        <v/>
      </c>
      <c r="I13" s="134" t="str">
        <f>IF(AND(G13&gt;=$H$5, G13&lt;=$J$5),G13,"")</f>
        <v/>
      </c>
      <c r="J13" s="135">
        <f>IF(G13&lt;$H$5,G13,"")</f>
        <v>0.46403712296983757</v>
      </c>
      <c r="K13" s="182"/>
      <c r="L13" s="48"/>
      <c r="M13" s="48"/>
      <c r="N13" s="48"/>
      <c r="O13" s="48"/>
      <c r="P13" s="48"/>
      <c r="Q13" s="48"/>
      <c r="R13" s="48"/>
      <c r="S13" s="48"/>
      <c r="T13" s="48"/>
      <c r="U13" s="158"/>
      <c r="V13" s="94"/>
      <c r="W13" s="18"/>
      <c r="X13" s="18"/>
      <c r="Y13" s="18"/>
      <c r="Z13" s="158"/>
      <c r="AA13" s="18"/>
      <c r="AB13" s="18"/>
      <c r="AC13" s="18"/>
      <c r="AD13" s="18"/>
      <c r="AE13" s="18"/>
      <c r="AF13" s="18"/>
      <c r="AG13" s="149"/>
      <c r="AH13" s="48"/>
      <c r="AI13" s="48"/>
      <c r="AJ13" s="48"/>
      <c r="AL13" s="49" t="str">
        <f>A13</f>
        <v>JEPE</v>
      </c>
      <c r="AM13" s="51">
        <f>C13</f>
        <v>431</v>
      </c>
      <c r="AN13" s="50">
        <f>D13</f>
        <v>2</v>
      </c>
      <c r="AO13" s="51" t="e">
        <f>#REF!</f>
        <v>#REF!</v>
      </c>
      <c r="AP13" s="183">
        <f>G13</f>
        <v>0.46403712296983757</v>
      </c>
      <c r="AQ13" s="184" t="e">
        <f>#REF!</f>
        <v>#REF!</v>
      </c>
    </row>
    <row r="14" spans="1:43" s="159" customFormat="1" ht="18" customHeight="1" x14ac:dyDescent="0.25">
      <c r="A14" s="132" t="str">
        <f>Config!$B$22</f>
        <v>ROQU</v>
      </c>
      <c r="B14" s="127">
        <f>METAS!$AX$102</f>
        <v>901</v>
      </c>
      <c r="C14" s="99">
        <f>ROUNDUP((B14/12)*Config!$C$6,0)</f>
        <v>376</v>
      </c>
      <c r="D14" s="127">
        <f>ACUMULADO!$AZ$15</f>
        <v>0</v>
      </c>
      <c r="E14" s="99"/>
      <c r="F14" s="138">
        <f t="shared" si="7"/>
        <v>6.4</v>
      </c>
      <c r="G14" s="133">
        <f>IFERROR(D14*100/C14,0)</f>
        <v>0</v>
      </c>
      <c r="H14" s="134" t="str">
        <f>IF(G14&gt;$J$5,G14,"")</f>
        <v/>
      </c>
      <c r="I14" s="134" t="str">
        <f>IF(AND(G14&gt;=$H$5, G14&lt;=$J$5),G14,"")</f>
        <v/>
      </c>
      <c r="J14" s="135">
        <f>IF(G14&lt;$H$5,G14,"")</f>
        <v>0</v>
      </c>
      <c r="K14" s="182"/>
      <c r="L14" s="48"/>
      <c r="M14" s="48"/>
      <c r="N14" s="48"/>
      <c r="O14" s="48"/>
      <c r="P14" s="48"/>
      <c r="Q14" s="48"/>
      <c r="R14" s="48"/>
      <c r="S14" s="48"/>
      <c r="T14" s="48"/>
      <c r="U14" s="158"/>
      <c r="V14" s="1"/>
      <c r="W14" s="148"/>
      <c r="X14" s="18"/>
      <c r="Y14" s="18"/>
      <c r="Z14" s="158"/>
      <c r="AA14" s="18"/>
      <c r="AB14" s="18"/>
      <c r="AC14" s="18"/>
      <c r="AD14" s="18"/>
      <c r="AE14" s="18"/>
      <c r="AF14" s="18"/>
      <c r="AG14" s="149"/>
      <c r="AH14" s="48"/>
      <c r="AI14" s="48"/>
      <c r="AJ14" s="48"/>
      <c r="AL14" s="49" t="str">
        <f>A14</f>
        <v>ROQU</v>
      </c>
      <c r="AM14" s="51">
        <f>C14</f>
        <v>376</v>
      </c>
      <c r="AN14" s="50">
        <f>D14</f>
        <v>0</v>
      </c>
      <c r="AO14" s="51" t="e">
        <f>#REF!</f>
        <v>#REF!</v>
      </c>
      <c r="AP14" s="183">
        <f>G14</f>
        <v>0</v>
      </c>
      <c r="AQ14" s="184" t="e">
        <f>#REF!</f>
        <v>#REF!</v>
      </c>
    </row>
    <row r="15" spans="1:43" s="159" customFormat="1" ht="18" customHeight="1" x14ac:dyDescent="0.25">
      <c r="A15" s="132" t="str">
        <f>Config!$B$23</f>
        <v>CALZ</v>
      </c>
      <c r="B15" s="127">
        <f>METAS!$AY$102</f>
        <v>769</v>
      </c>
      <c r="C15" s="99">
        <f>ROUNDUP((B15/12)*Config!$C$6,0)</f>
        <v>321</v>
      </c>
      <c r="D15" s="127">
        <f>ACUMULADO!$BA$15</f>
        <v>0</v>
      </c>
      <c r="E15" s="99"/>
      <c r="F15" s="138">
        <f t="shared" si="7"/>
        <v>6.4</v>
      </c>
      <c r="G15" s="133">
        <f t="shared" si="8"/>
        <v>0</v>
      </c>
      <c r="H15" s="134" t="str">
        <f t="shared" si="4"/>
        <v/>
      </c>
      <c r="I15" s="134" t="str">
        <f t="shared" si="5"/>
        <v/>
      </c>
      <c r="J15" s="135">
        <f t="shared" si="6"/>
        <v>0</v>
      </c>
      <c r="K15" s="182"/>
      <c r="L15" s="48"/>
      <c r="M15" s="48"/>
      <c r="N15" s="48"/>
      <c r="O15" s="48"/>
      <c r="P15" s="48"/>
      <c r="Q15" s="48"/>
      <c r="R15" s="48"/>
      <c r="S15" s="48"/>
      <c r="T15" s="48"/>
      <c r="U15" s="158"/>
      <c r="V15" s="94"/>
      <c r="W15" s="18"/>
      <c r="X15" s="18"/>
      <c r="Y15" s="18"/>
      <c r="Z15" s="158"/>
      <c r="AA15" s="18"/>
      <c r="AB15" s="18"/>
      <c r="AC15" s="18"/>
      <c r="AD15" s="18"/>
      <c r="AE15" s="18"/>
      <c r="AF15" s="18"/>
      <c r="AG15" s="149"/>
      <c r="AH15" s="48"/>
      <c r="AI15" s="48"/>
      <c r="AJ15" s="48"/>
      <c r="AL15" s="49" t="str">
        <f t="shared" si="0"/>
        <v>CALZ</v>
      </c>
      <c r="AM15" s="51">
        <f t="shared" si="2"/>
        <v>321</v>
      </c>
      <c r="AN15" s="50">
        <f t="shared" si="1"/>
        <v>0</v>
      </c>
      <c r="AO15" s="51" t="e">
        <f>#REF!</f>
        <v>#REF!</v>
      </c>
      <c r="AP15" s="183">
        <f t="shared" si="3"/>
        <v>0</v>
      </c>
      <c r="AQ15" s="184" t="e">
        <f>#REF!</f>
        <v>#REF!</v>
      </c>
    </row>
    <row r="16" spans="1:43" ht="18" customHeight="1" x14ac:dyDescent="0.25">
      <c r="A16" s="132" t="str">
        <f>Config!$B$24</f>
        <v>PUEB</v>
      </c>
      <c r="B16" s="127">
        <f>METAS!$AZ$102</f>
        <v>851</v>
      </c>
      <c r="C16" s="99">
        <f>ROUNDUP((B16/12)*Config!$C$6,0)</f>
        <v>355</v>
      </c>
      <c r="D16" s="127">
        <f>ACUMULADO!$BB$15</f>
        <v>9</v>
      </c>
      <c r="E16" s="99"/>
      <c r="F16" s="138">
        <f t="shared" si="7"/>
        <v>6.4</v>
      </c>
      <c r="G16" s="133">
        <f t="shared" ref="G16" si="9">IFERROR(D16*100/C16,0)</f>
        <v>2.535211267605634</v>
      </c>
      <c r="H16" s="134" t="str">
        <f t="shared" ref="H16" si="10">IF(G16&gt;$J$5,G16,"")</f>
        <v/>
      </c>
      <c r="I16" s="134" t="str">
        <f t="shared" ref="I16" si="11">IF(AND(G16&gt;=$H$5, G16&lt;=$J$5),G16,"")</f>
        <v/>
      </c>
      <c r="J16" s="135">
        <f t="shared" ref="J16" si="12">IF(G16&lt;$H$5,G16,"")</f>
        <v>2.535211267605634</v>
      </c>
      <c r="K16" s="182"/>
      <c r="T16" s="48"/>
      <c r="V16" s="1"/>
      <c r="W16" s="98"/>
      <c r="AB16" s="18"/>
      <c r="AC16" s="18"/>
      <c r="AD16" s="18"/>
      <c r="AE16" s="18"/>
      <c r="AF16" s="18"/>
      <c r="AG16" s="149"/>
      <c r="AL16" s="49" t="str">
        <f>A16</f>
        <v>PUEB</v>
      </c>
      <c r="AM16" s="51">
        <f>C16</f>
        <v>355</v>
      </c>
      <c r="AN16" s="50">
        <f>D16</f>
        <v>9</v>
      </c>
      <c r="AO16" s="51" t="e">
        <f>#REF!</f>
        <v>#REF!</v>
      </c>
      <c r="AP16" s="183" t="e">
        <f>#REF!</f>
        <v>#REF!</v>
      </c>
      <c r="AQ16" s="184" t="e">
        <f>#REF!</f>
        <v>#REF!</v>
      </c>
    </row>
    <row r="17" spans="1:43" s="159" customFormat="1" ht="18" customHeight="1" x14ac:dyDescent="0.25">
      <c r="A17" s="163"/>
      <c r="E17" s="159" t="s">
        <v>225</v>
      </c>
      <c r="F17" s="159">
        <v>2017</v>
      </c>
      <c r="G17" s="164">
        <v>2018</v>
      </c>
      <c r="H17" s="48">
        <v>2019</v>
      </c>
      <c r="I17" s="48">
        <v>2020</v>
      </c>
      <c r="J17" s="48">
        <v>2021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158"/>
      <c r="V17" s="94"/>
      <c r="W17" s="18"/>
      <c r="X17" s="18"/>
      <c r="Y17" s="18"/>
      <c r="Z17" s="158"/>
      <c r="AA17" s="18"/>
      <c r="AB17" s="18"/>
      <c r="AC17" s="18"/>
      <c r="AD17" s="18"/>
      <c r="AE17" s="18"/>
      <c r="AF17" s="18"/>
      <c r="AG17" s="149"/>
      <c r="AH17" s="48"/>
      <c r="AI17" s="48"/>
      <c r="AJ17" s="48"/>
      <c r="AO17" s="48"/>
      <c r="AP17" s="4"/>
    </row>
    <row r="18" spans="1:43" s="159" customFormat="1" ht="18" customHeight="1" x14ac:dyDescent="0.25">
      <c r="A18" s="163"/>
      <c r="C18" s="164"/>
      <c r="E18" s="159" t="s">
        <v>226</v>
      </c>
      <c r="F18" s="159">
        <v>12</v>
      </c>
      <c r="G18" s="185">
        <v>10.5</v>
      </c>
      <c r="H18" s="48">
        <v>9</v>
      </c>
      <c r="I18" s="48">
        <v>7.5</v>
      </c>
      <c r="J18" s="48">
        <v>5.5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158"/>
      <c r="V18" s="94"/>
      <c r="W18" s="18"/>
      <c r="X18" s="18"/>
      <c r="Y18" s="18"/>
      <c r="Z18" s="158"/>
      <c r="AA18" s="18"/>
      <c r="AB18" s="18"/>
      <c r="AC18" s="18"/>
      <c r="AD18" s="18"/>
      <c r="AE18" s="18"/>
      <c r="AF18" s="18"/>
      <c r="AG18" s="149"/>
      <c r="AH18" s="48"/>
      <c r="AI18" s="48"/>
      <c r="AJ18" s="48"/>
      <c r="AO18" s="48"/>
      <c r="AP18" s="4"/>
    </row>
    <row r="19" spans="1:43" s="159" customFormat="1" ht="18" customHeight="1" x14ac:dyDescent="0.25">
      <c r="A19" s="163"/>
      <c r="C19" s="164"/>
      <c r="G19" s="185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158"/>
      <c r="V19" s="94"/>
      <c r="W19" s="18"/>
      <c r="X19" s="18"/>
      <c r="Y19" s="18"/>
      <c r="Z19" s="158"/>
      <c r="AA19" s="18"/>
      <c r="AB19" s="18"/>
      <c r="AC19" s="18"/>
      <c r="AD19" s="18"/>
      <c r="AE19" s="18"/>
      <c r="AF19" s="18"/>
      <c r="AG19" s="149"/>
      <c r="AH19" s="48"/>
      <c r="AI19" s="48"/>
      <c r="AJ19" s="48"/>
      <c r="AO19" s="48"/>
      <c r="AP19" s="4"/>
    </row>
    <row r="20" spans="1:43" s="159" customFormat="1" ht="18" customHeight="1" x14ac:dyDescent="0.25">
      <c r="A20" s="163"/>
      <c r="C20" s="164"/>
      <c r="E20" s="159" t="s">
        <v>227</v>
      </c>
      <c r="F20" s="159">
        <v>2017</v>
      </c>
      <c r="G20" s="164">
        <v>2018</v>
      </c>
      <c r="H20" s="48">
        <v>2019</v>
      </c>
      <c r="I20" s="48">
        <v>2020</v>
      </c>
      <c r="J20" s="48">
        <v>2021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158"/>
      <c r="V20" s="94"/>
      <c r="W20" s="18"/>
      <c r="X20" s="18"/>
      <c r="Y20" s="18"/>
      <c r="Z20" s="158"/>
      <c r="AA20" s="18"/>
      <c r="AB20" s="18"/>
      <c r="AC20" s="18"/>
      <c r="AD20" s="18"/>
      <c r="AE20" s="18"/>
      <c r="AF20" s="18"/>
      <c r="AG20" s="149"/>
      <c r="AH20" s="48"/>
      <c r="AI20" s="48"/>
      <c r="AJ20" s="48"/>
      <c r="AO20" s="48"/>
      <c r="AP20" s="4"/>
    </row>
    <row r="21" spans="1:43" s="159" customFormat="1" ht="18" customHeight="1" x14ac:dyDescent="0.25">
      <c r="A21" s="139"/>
      <c r="B21" s="103"/>
      <c r="C21" s="164"/>
      <c r="E21" s="159" t="s">
        <v>226</v>
      </c>
      <c r="F21" s="159">
        <v>13</v>
      </c>
      <c r="G21" s="185">
        <v>14.4</v>
      </c>
      <c r="H21" s="48">
        <v>9.6999999999999993</v>
      </c>
      <c r="I21" s="48">
        <v>8.1</v>
      </c>
      <c r="J21" s="48">
        <v>6.4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158"/>
      <c r="V21" s="94"/>
      <c r="W21" s="18"/>
      <c r="X21" s="18"/>
      <c r="Y21" s="18"/>
      <c r="Z21" s="158"/>
      <c r="AA21" s="18"/>
      <c r="AB21" s="18"/>
      <c r="AC21" s="18"/>
      <c r="AD21" s="18"/>
      <c r="AE21" s="18"/>
      <c r="AF21" s="18"/>
      <c r="AG21" s="149"/>
      <c r="AH21" s="48"/>
      <c r="AI21" s="48"/>
      <c r="AJ21" s="48"/>
      <c r="AO21" s="48"/>
      <c r="AP21" s="4"/>
    </row>
    <row r="22" spans="1:43" s="159" customFormat="1" ht="18" customHeight="1" x14ac:dyDescent="0.25">
      <c r="A22" s="5"/>
      <c r="B22" s="48"/>
      <c r="C22" s="164"/>
      <c r="F22" s="103"/>
      <c r="G22" s="185"/>
      <c r="H22" s="103"/>
      <c r="I22" s="186"/>
      <c r="J22" s="187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158"/>
      <c r="V22" s="94"/>
      <c r="W22" s="18"/>
      <c r="X22" s="18"/>
      <c r="Y22" s="18"/>
      <c r="Z22" s="158"/>
      <c r="AA22" s="18"/>
      <c r="AB22" s="18"/>
      <c r="AC22" s="18"/>
      <c r="AD22" s="18"/>
      <c r="AE22" s="18"/>
      <c r="AF22" s="18"/>
      <c r="AG22" s="149"/>
      <c r="AH22" s="48"/>
      <c r="AI22" s="48"/>
      <c r="AJ22" s="48"/>
      <c r="AO22" s="48"/>
      <c r="AP22" s="4"/>
    </row>
    <row r="23" spans="1:43" s="159" customFormat="1" ht="18" customHeight="1" x14ac:dyDescent="0.25">
      <c r="A23" s="5"/>
      <c r="B23" s="48"/>
      <c r="C23" s="164"/>
      <c r="F23" s="103"/>
      <c r="G23" s="185"/>
      <c r="H23" s="103"/>
      <c r="I23" s="186"/>
      <c r="J23" s="187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158"/>
      <c r="V23" s="98" t="str">
        <f>A24</f>
        <v>PROPORCIÓN DE NIÑOS DE 6 A 35 MESES  DE EDAD CON AMENIA</v>
      </c>
      <c r="W23" s="18"/>
      <c r="X23" s="18"/>
      <c r="Y23" s="18"/>
      <c r="Z23" s="158"/>
      <c r="AA23" s="18"/>
      <c r="AB23" s="18"/>
      <c r="AC23" s="18"/>
      <c r="AD23" s="18"/>
      <c r="AE23" s="18"/>
      <c r="AF23" s="18"/>
      <c r="AG23" s="149"/>
      <c r="AH23" s="48"/>
      <c r="AI23" s="48"/>
      <c r="AJ23" s="48"/>
      <c r="AO23" s="48"/>
      <c r="AP23" s="4"/>
    </row>
    <row r="24" spans="1:43" s="159" customFormat="1" ht="18" customHeight="1" x14ac:dyDescent="0.25">
      <c r="A24" s="5" t="str">
        <f>METAS!$B$103</f>
        <v>PROPORCIÓN DE NIÑOS DE 6 A 35 MESES  DE EDAD CON AMENIA</v>
      </c>
      <c r="B24" s="48"/>
      <c r="C24" s="101"/>
      <c r="D24" s="177"/>
      <c r="E24" s="188"/>
      <c r="F24" s="177"/>
      <c r="G24" s="185"/>
      <c r="H24" s="179">
        <v>19</v>
      </c>
      <c r="I24" s="180"/>
      <c r="J24" s="181">
        <v>23.8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158"/>
      <c r="V24" s="137" t="str">
        <f>$V$1&amp;"  "&amp;V23&amp;"  "&amp;$V$3&amp;"  "&amp;$V$2</f>
        <v>RED. MOYOBAMBA:  PROPORCIÓN DE NIÑOS DE 6 A 35 MESES  DE EDAD CON AMENIA  - POR MICROREDES :   ENERO - MAYO 2022</v>
      </c>
      <c r="W24" s="18"/>
      <c r="X24" s="18"/>
      <c r="Y24" s="18"/>
      <c r="Z24" s="158"/>
      <c r="AA24" s="18"/>
      <c r="AB24" s="18"/>
      <c r="AC24" s="18"/>
      <c r="AD24" s="18"/>
      <c r="AE24" s="18"/>
      <c r="AF24" s="18"/>
      <c r="AG24" s="149"/>
      <c r="AH24" s="48"/>
      <c r="AI24" s="48"/>
      <c r="AJ24" s="48"/>
      <c r="AL24" s="48" t="str">
        <f t="shared" ref="AL24:AL34" si="13">A24</f>
        <v>PROPORCIÓN DE NIÑOS DE 6 A 35 MESES  DE EDAD CON AMENIA</v>
      </c>
      <c r="AM24" s="48"/>
      <c r="AN24" s="48"/>
      <c r="AO24" s="48"/>
      <c r="AP24" s="4"/>
      <c r="AQ24" s="48"/>
    </row>
    <row r="25" spans="1:43" s="159" customFormat="1" ht="48" customHeight="1" thickBot="1" x14ac:dyDescent="0.3">
      <c r="A25" s="107" t="s">
        <v>2</v>
      </c>
      <c r="B25" s="108" t="s">
        <v>275</v>
      </c>
      <c r="C25" s="109" t="s">
        <v>192</v>
      </c>
      <c r="D25" s="108" t="s">
        <v>274</v>
      </c>
      <c r="E25" s="108"/>
      <c r="F25" s="110" t="s">
        <v>228</v>
      </c>
      <c r="G25" s="111" t="s">
        <v>11</v>
      </c>
      <c r="H25" s="112" t="str">
        <f>"DEFICIENTE &gt;= "&amp;$J$24</f>
        <v>DEFICIENTE &gt;= 23,8</v>
      </c>
      <c r="I25" s="112" t="str">
        <f>"PROCESO &gt; "&amp;$H$24&amp;"  -  &lt; "&amp;$J$24</f>
        <v>PROCESO &gt; 19  -  &lt; 23,8</v>
      </c>
      <c r="J25" s="112" t="str">
        <f>"OPTIMO &lt;= "&amp;$H$24</f>
        <v>OPTIMO &lt;= 19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158"/>
      <c r="V25" s="94"/>
      <c r="W25" s="18"/>
      <c r="X25" s="18"/>
      <c r="Y25" s="18"/>
      <c r="Z25" s="158"/>
      <c r="AA25" s="18"/>
      <c r="AB25" s="18"/>
      <c r="AC25" s="18"/>
      <c r="AD25" s="18"/>
      <c r="AE25" s="18"/>
      <c r="AF25" s="18"/>
      <c r="AG25" s="149"/>
      <c r="AH25" s="48"/>
      <c r="AI25" s="48"/>
      <c r="AJ25" s="48"/>
      <c r="AL25" s="113" t="str">
        <f t="shared" si="13"/>
        <v>ESTABLECIMIENTOS</v>
      </c>
      <c r="AM25" s="114" t="s">
        <v>222</v>
      </c>
      <c r="AN25" s="115" t="str">
        <f t="shared" ref="AN25:AN34" si="14">D25</f>
        <v>Anemia HIS</v>
      </c>
      <c r="AO25" s="116" t="e">
        <f>#REF!</f>
        <v>#REF!</v>
      </c>
      <c r="AP25" s="116" t="s">
        <v>223</v>
      </c>
      <c r="AQ25" s="117" t="s">
        <v>224</v>
      </c>
    </row>
    <row r="26" spans="1:43" s="159" customFormat="1" ht="18" customHeight="1" thickBot="1" x14ac:dyDescent="0.3">
      <c r="A26" s="118" t="str">
        <f>Config!$B$15</f>
        <v>RED</v>
      </c>
      <c r="B26" s="119">
        <f>SUM(B27:B35)</f>
        <v>7542</v>
      </c>
      <c r="C26" s="119">
        <f>SUM(C27:C35)</f>
        <v>3147</v>
      </c>
      <c r="D26" s="119">
        <f>SUM(D27:D35)</f>
        <v>364</v>
      </c>
      <c r="E26" s="119"/>
      <c r="F26" s="120">
        <v>19</v>
      </c>
      <c r="G26" s="119">
        <f>IFERROR(D26*100/C26,0)</f>
        <v>11.566571337782015</v>
      </c>
      <c r="H26" s="121" t="str">
        <f>IF(G26&gt;$J$24,G26,"")</f>
        <v/>
      </c>
      <c r="I26" s="121" t="str">
        <f>IF(AND(G26&gt;=$H$24, G26&lt;=$J$24),G26,"")</f>
        <v/>
      </c>
      <c r="J26" s="119">
        <f>IF(G26&lt;$H$24,G26,"")</f>
        <v>11.566571337782015</v>
      </c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158"/>
      <c r="V26" s="48"/>
      <c r="W26" s="18"/>
      <c r="X26" s="18"/>
      <c r="Y26" s="18"/>
      <c r="Z26" s="158"/>
      <c r="AA26" s="18"/>
      <c r="AB26" s="18"/>
      <c r="AC26" s="18"/>
      <c r="AD26" s="18"/>
      <c r="AE26" s="18"/>
      <c r="AF26" s="18"/>
      <c r="AG26" s="149"/>
      <c r="AH26" s="48"/>
      <c r="AI26" s="48"/>
      <c r="AJ26" s="48"/>
      <c r="AL26" s="123" t="str">
        <f t="shared" si="13"/>
        <v>RED</v>
      </c>
      <c r="AM26" s="124">
        <f t="shared" ref="AM26:AM34" si="15">C26</f>
        <v>3147</v>
      </c>
      <c r="AN26" s="125">
        <f t="shared" si="14"/>
        <v>364</v>
      </c>
      <c r="AO26" s="124" t="e">
        <f>#REF!</f>
        <v>#REF!</v>
      </c>
      <c r="AP26" s="125">
        <f t="shared" ref="AP26:AP34" si="16">G26</f>
        <v>11.566571337782015</v>
      </c>
      <c r="AQ26" s="125" t="e">
        <f>#REF!</f>
        <v>#REF!</v>
      </c>
    </row>
    <row r="27" spans="1:43" s="159" customFormat="1" ht="18" hidden="1" customHeight="1" x14ac:dyDescent="0.25">
      <c r="A27" s="132" t="str">
        <f>Config!$B$16</f>
        <v>HOSP</v>
      </c>
      <c r="B27" s="127">
        <f>METAS!$AR$103</f>
        <v>0</v>
      </c>
      <c r="C27" s="127">
        <f>ROUNDUP((B27/12)*Config!$C$6,0)</f>
        <v>0</v>
      </c>
      <c r="D27" s="127">
        <f>ACUMULADO!$AT$16</f>
        <v>6</v>
      </c>
      <c r="E27" s="99"/>
      <c r="F27" s="138">
        <f>F26</f>
        <v>19</v>
      </c>
      <c r="G27" s="133">
        <f>IFERROR(D27*100/C27,0)</f>
        <v>0</v>
      </c>
      <c r="H27" s="134" t="str">
        <f t="shared" ref="H27:H34" si="17">IF(G27&gt;$J$24,G27,"")</f>
        <v/>
      </c>
      <c r="I27" s="134" t="str">
        <f t="shared" ref="I27:I34" si="18">IF(AND(G27&gt;=$H$24, G27&lt;=$J$24),G27,"")</f>
        <v/>
      </c>
      <c r="J27" s="135">
        <f t="shared" ref="J27:J34" si="19">IF(G27&lt;$H$24,G27,"")</f>
        <v>0</v>
      </c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158"/>
      <c r="V27" s="1"/>
      <c r="W27" s="148"/>
      <c r="X27" s="18"/>
      <c r="Y27" s="18"/>
      <c r="Z27" s="158"/>
      <c r="AA27" s="18"/>
      <c r="AB27" s="18"/>
      <c r="AC27" s="18"/>
      <c r="AD27" s="18"/>
      <c r="AE27" s="18"/>
      <c r="AF27" s="18"/>
      <c r="AG27" s="149"/>
      <c r="AH27" s="48"/>
      <c r="AI27" s="48"/>
      <c r="AJ27" s="48"/>
      <c r="AL27" s="49" t="str">
        <f t="shared" si="13"/>
        <v>HOSP</v>
      </c>
      <c r="AM27" s="51">
        <f t="shared" si="15"/>
        <v>0</v>
      </c>
      <c r="AN27" s="50">
        <f t="shared" si="14"/>
        <v>6</v>
      </c>
      <c r="AO27" s="51" t="e">
        <f>#REF!</f>
        <v>#REF!</v>
      </c>
      <c r="AP27" s="183">
        <f t="shared" si="16"/>
        <v>0</v>
      </c>
      <c r="AQ27" s="184" t="e">
        <f>#REF!</f>
        <v>#REF!</v>
      </c>
    </row>
    <row r="28" spans="1:43" s="159" customFormat="1" ht="18" customHeight="1" x14ac:dyDescent="0.25">
      <c r="A28" s="132" t="str">
        <f>Config!$B$17</f>
        <v>LLUI</v>
      </c>
      <c r="B28" s="127">
        <f>METAS!$AS$103</f>
        <v>3123</v>
      </c>
      <c r="C28" s="99">
        <f>ROUNDUP((B28/12)*Config!$C$6,0)</f>
        <v>1302</v>
      </c>
      <c r="D28" s="127">
        <f>ACUMULADO!$AU$16</f>
        <v>147</v>
      </c>
      <c r="E28" s="99"/>
      <c r="F28" s="138">
        <f t="shared" ref="F28:F35" si="20">F27</f>
        <v>19</v>
      </c>
      <c r="G28" s="133">
        <f>IFERROR(D28*100/C28,0)</f>
        <v>11.290322580645162</v>
      </c>
      <c r="H28" s="134" t="str">
        <f t="shared" si="17"/>
        <v/>
      </c>
      <c r="I28" s="134" t="str">
        <f t="shared" si="18"/>
        <v/>
      </c>
      <c r="J28" s="135">
        <f t="shared" si="19"/>
        <v>11.290322580645162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158"/>
      <c r="V28" s="94"/>
      <c r="W28" s="18"/>
      <c r="X28" s="18"/>
      <c r="Y28" s="18"/>
      <c r="Z28" s="158"/>
      <c r="AA28" s="18"/>
      <c r="AB28" s="18"/>
      <c r="AC28" s="18"/>
      <c r="AD28" s="18"/>
      <c r="AE28" s="18"/>
      <c r="AF28" s="18"/>
      <c r="AG28" s="149"/>
      <c r="AH28" s="48"/>
      <c r="AI28" s="48"/>
      <c r="AJ28" s="48"/>
      <c r="AL28" s="49" t="str">
        <f t="shared" si="13"/>
        <v>LLUI</v>
      </c>
      <c r="AM28" s="51">
        <f t="shared" si="15"/>
        <v>1302</v>
      </c>
      <c r="AN28" s="50">
        <f t="shared" si="14"/>
        <v>147</v>
      </c>
      <c r="AO28" s="51" t="e">
        <f>#REF!</f>
        <v>#REF!</v>
      </c>
      <c r="AP28" s="183">
        <f t="shared" si="16"/>
        <v>11.290322580645162</v>
      </c>
      <c r="AQ28" s="184" t="e">
        <f>#REF!</f>
        <v>#REF!</v>
      </c>
    </row>
    <row r="29" spans="1:43" s="159" customFormat="1" ht="18" customHeight="1" x14ac:dyDescent="0.25">
      <c r="A29" s="132" t="str">
        <f>Config!$B$18</f>
        <v>JERI</v>
      </c>
      <c r="B29" s="127">
        <f>METAS!$AT$103</f>
        <v>302</v>
      </c>
      <c r="C29" s="99">
        <f>ROUNDUP((B29/12)*Config!$C$6,0)</f>
        <v>126</v>
      </c>
      <c r="D29" s="127">
        <f>ACUMULADO!$AV$16</f>
        <v>17</v>
      </c>
      <c r="E29" s="99"/>
      <c r="F29" s="138">
        <f t="shared" si="20"/>
        <v>19</v>
      </c>
      <c r="G29" s="133">
        <f t="shared" ref="G29:G34" si="21">IFERROR(D29*100/C29,0)</f>
        <v>13.492063492063492</v>
      </c>
      <c r="H29" s="134" t="str">
        <f t="shared" si="17"/>
        <v/>
      </c>
      <c r="I29" s="134" t="str">
        <f t="shared" si="18"/>
        <v/>
      </c>
      <c r="J29" s="135">
        <f t="shared" si="19"/>
        <v>13.492063492063492</v>
      </c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158"/>
      <c r="V29" s="94"/>
      <c r="W29" s="18"/>
      <c r="X29" s="18"/>
      <c r="Y29" s="18"/>
      <c r="Z29" s="158"/>
      <c r="AA29" s="18"/>
      <c r="AB29" s="18"/>
      <c r="AC29" s="18"/>
      <c r="AD29" s="18"/>
      <c r="AE29" s="18"/>
      <c r="AF29" s="18"/>
      <c r="AG29" s="149"/>
      <c r="AH29" s="48"/>
      <c r="AI29" s="48"/>
      <c r="AJ29" s="48"/>
      <c r="AL29" s="49" t="str">
        <f t="shared" si="13"/>
        <v>JERI</v>
      </c>
      <c r="AM29" s="51">
        <f t="shared" si="15"/>
        <v>126</v>
      </c>
      <c r="AN29" s="50">
        <f t="shared" si="14"/>
        <v>17</v>
      </c>
      <c r="AO29" s="51" t="e">
        <f>#REF!</f>
        <v>#REF!</v>
      </c>
      <c r="AP29" s="183">
        <f t="shared" si="16"/>
        <v>13.492063492063492</v>
      </c>
      <c r="AQ29" s="184" t="e">
        <f>#REF!</f>
        <v>#REF!</v>
      </c>
    </row>
    <row r="30" spans="1:43" s="159" customFormat="1" ht="18" customHeight="1" x14ac:dyDescent="0.25">
      <c r="A30" s="132" t="str">
        <f>Config!$B$19</f>
        <v>YANT</v>
      </c>
      <c r="B30" s="127">
        <f>METAS!$AU$103</f>
        <v>568</v>
      </c>
      <c r="C30" s="99">
        <f>ROUNDUP((B30/12)*Config!$C$6,0)</f>
        <v>237</v>
      </c>
      <c r="D30" s="127">
        <f>ACUMULADO!$AW$16</f>
        <v>42</v>
      </c>
      <c r="E30" s="99"/>
      <c r="F30" s="138">
        <f t="shared" si="20"/>
        <v>19</v>
      </c>
      <c r="G30" s="133">
        <f t="shared" si="21"/>
        <v>17.721518987341771</v>
      </c>
      <c r="H30" s="134" t="str">
        <f t="shared" si="17"/>
        <v/>
      </c>
      <c r="I30" s="134" t="str">
        <f t="shared" si="18"/>
        <v/>
      </c>
      <c r="J30" s="135">
        <f t="shared" si="19"/>
        <v>17.721518987341771</v>
      </c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158"/>
      <c r="V30" s="94"/>
      <c r="W30" s="18"/>
      <c r="X30" s="18"/>
      <c r="Y30" s="18"/>
      <c r="Z30" s="158"/>
      <c r="AA30" s="18"/>
      <c r="AB30" s="18"/>
      <c r="AC30" s="18"/>
      <c r="AD30" s="18"/>
      <c r="AE30" s="18"/>
      <c r="AF30" s="18"/>
      <c r="AG30" s="149"/>
      <c r="AH30" s="48"/>
      <c r="AI30" s="48"/>
      <c r="AJ30" s="48"/>
      <c r="AL30" s="49" t="str">
        <f t="shared" si="13"/>
        <v>YANT</v>
      </c>
      <c r="AM30" s="51">
        <f t="shared" si="15"/>
        <v>237</v>
      </c>
      <c r="AN30" s="50">
        <f t="shared" si="14"/>
        <v>42</v>
      </c>
      <c r="AO30" s="51" t="e">
        <f>#REF!</f>
        <v>#REF!</v>
      </c>
      <c r="AP30" s="183">
        <f t="shared" si="16"/>
        <v>17.721518987341771</v>
      </c>
      <c r="AQ30" s="184" t="e">
        <f>#REF!</f>
        <v>#REF!</v>
      </c>
    </row>
    <row r="31" spans="1:43" s="159" customFormat="1" ht="18" customHeight="1" x14ac:dyDescent="0.25">
      <c r="A31" s="132" t="str">
        <f>Config!$B$20</f>
        <v>SORI</v>
      </c>
      <c r="B31" s="127">
        <f>METAS!$AV$103</f>
        <v>1469</v>
      </c>
      <c r="C31" s="99">
        <f>ROUNDUP((B31/12)*Config!$C$6,0)</f>
        <v>613</v>
      </c>
      <c r="D31" s="127">
        <f>ACUMULADO!$AX$16</f>
        <v>6</v>
      </c>
      <c r="E31" s="99"/>
      <c r="F31" s="138">
        <f t="shared" si="20"/>
        <v>19</v>
      </c>
      <c r="G31" s="133">
        <f>IFERROR(D31*100/C31,0)</f>
        <v>0.97879282218597063</v>
      </c>
      <c r="H31" s="134" t="str">
        <f t="shared" si="17"/>
        <v/>
      </c>
      <c r="I31" s="134" t="str">
        <f t="shared" si="18"/>
        <v/>
      </c>
      <c r="J31" s="135">
        <f t="shared" si="19"/>
        <v>0.97879282218597063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158"/>
      <c r="V31" s="94"/>
      <c r="W31" s="18"/>
      <c r="X31" s="18"/>
      <c r="Y31" s="18"/>
      <c r="Z31" s="158"/>
      <c r="AA31" s="18"/>
      <c r="AB31" s="18"/>
      <c r="AC31" s="18"/>
      <c r="AD31" s="18"/>
      <c r="AE31" s="18"/>
      <c r="AF31" s="18"/>
      <c r="AG31" s="149"/>
      <c r="AH31" s="48"/>
      <c r="AI31" s="48"/>
      <c r="AJ31" s="48"/>
      <c r="AL31" s="49" t="str">
        <f t="shared" si="13"/>
        <v>SORI</v>
      </c>
      <c r="AM31" s="51">
        <f t="shared" si="15"/>
        <v>613</v>
      </c>
      <c r="AN31" s="50">
        <f t="shared" si="14"/>
        <v>6</v>
      </c>
      <c r="AO31" s="51" t="e">
        <f>#REF!</f>
        <v>#REF!</v>
      </c>
      <c r="AP31" s="183">
        <f t="shared" si="16"/>
        <v>0.97879282218597063</v>
      </c>
      <c r="AQ31" s="184" t="e">
        <f>#REF!</f>
        <v>#REF!</v>
      </c>
    </row>
    <row r="32" spans="1:43" s="159" customFormat="1" ht="18" customHeight="1" x14ac:dyDescent="0.25">
      <c r="A32" s="132" t="str">
        <f>Config!$B$21</f>
        <v>JEPE</v>
      </c>
      <c r="B32" s="127">
        <f>METAS!$AW$103</f>
        <v>584</v>
      </c>
      <c r="C32" s="99">
        <f>ROUNDUP((B32/12)*Config!$C$6,0)</f>
        <v>244</v>
      </c>
      <c r="D32" s="127">
        <f>ACUMULADO!$AY$16</f>
        <v>21</v>
      </c>
      <c r="E32" s="99"/>
      <c r="F32" s="138">
        <f t="shared" si="20"/>
        <v>19</v>
      </c>
      <c r="G32" s="133">
        <f>IFERROR(D32*100/C32,0)</f>
        <v>8.6065573770491799</v>
      </c>
      <c r="H32" s="134" t="str">
        <f>IF(G32&gt;$J$24,G32,"")</f>
        <v/>
      </c>
      <c r="I32" s="134" t="str">
        <f>IF(AND(G32&gt;=$H$24, G32&lt;=$J$24),G32,"")</f>
        <v/>
      </c>
      <c r="J32" s="135">
        <f>IF(G32&lt;$H$24,G32,"")</f>
        <v>8.6065573770491799</v>
      </c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158"/>
      <c r="V32" s="94"/>
      <c r="W32" s="18"/>
      <c r="X32" s="18"/>
      <c r="Y32" s="18"/>
      <c r="Z32" s="158"/>
      <c r="AA32" s="18"/>
      <c r="AB32" s="18"/>
      <c r="AC32" s="18"/>
      <c r="AD32" s="18"/>
      <c r="AE32" s="18"/>
      <c r="AF32" s="18"/>
      <c r="AG32" s="149"/>
      <c r="AH32" s="48"/>
      <c r="AI32" s="48"/>
      <c r="AJ32" s="48"/>
      <c r="AL32" s="49" t="str">
        <f>A32</f>
        <v>JEPE</v>
      </c>
      <c r="AM32" s="51">
        <f>C32</f>
        <v>244</v>
      </c>
      <c r="AN32" s="50">
        <f>D32</f>
        <v>21</v>
      </c>
      <c r="AO32" s="51" t="e">
        <f>#REF!</f>
        <v>#REF!</v>
      </c>
      <c r="AP32" s="183">
        <f>G32</f>
        <v>8.6065573770491799</v>
      </c>
      <c r="AQ32" s="184" t="e">
        <f>#REF!</f>
        <v>#REF!</v>
      </c>
    </row>
    <row r="33" spans="1:43" s="159" customFormat="1" ht="18" customHeight="1" x14ac:dyDescent="0.25">
      <c r="A33" s="132" t="str">
        <f>Config!$B$22</f>
        <v>ROQU</v>
      </c>
      <c r="B33" s="127">
        <f>METAS!$AX$103</f>
        <v>547</v>
      </c>
      <c r="C33" s="99">
        <f>ROUNDUP((B33/12)*Config!$C$6,0)</f>
        <v>228</v>
      </c>
      <c r="D33" s="127">
        <f>ACUMULADO!$AZ$16</f>
        <v>20</v>
      </c>
      <c r="E33" s="99"/>
      <c r="F33" s="138">
        <f t="shared" si="20"/>
        <v>19</v>
      </c>
      <c r="G33" s="133">
        <f>IFERROR(D33*100/C33,0)</f>
        <v>8.7719298245614041</v>
      </c>
      <c r="H33" s="134" t="str">
        <f>IF(G33&gt;$J$24,G33,"")</f>
        <v/>
      </c>
      <c r="I33" s="134" t="str">
        <f>IF(AND(G33&gt;=$H$24, G33&lt;=$J$24),G33,"")</f>
        <v/>
      </c>
      <c r="J33" s="135">
        <f>IF(G33&lt;$H$24,G33,"")</f>
        <v>8.7719298245614041</v>
      </c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158"/>
      <c r="V33" s="94"/>
      <c r="W33" s="18"/>
      <c r="X33" s="18"/>
      <c r="Y33" s="18"/>
      <c r="Z33" s="158"/>
      <c r="AA33" s="18"/>
      <c r="AB33" s="18"/>
      <c r="AC33" s="18"/>
      <c r="AD33" s="18"/>
      <c r="AE33" s="18"/>
      <c r="AF33" s="18"/>
      <c r="AG33" s="149"/>
      <c r="AH33" s="48"/>
      <c r="AI33" s="48"/>
      <c r="AJ33" s="48"/>
      <c r="AL33" s="49" t="str">
        <f>A33</f>
        <v>ROQU</v>
      </c>
      <c r="AM33" s="51">
        <f>C33</f>
        <v>228</v>
      </c>
      <c r="AN33" s="50">
        <f>D33</f>
        <v>20</v>
      </c>
      <c r="AO33" s="51" t="e">
        <f>#REF!</f>
        <v>#REF!</v>
      </c>
      <c r="AP33" s="183">
        <f>G33</f>
        <v>8.7719298245614041</v>
      </c>
      <c r="AQ33" s="184" t="e">
        <f>#REF!</f>
        <v>#REF!</v>
      </c>
    </row>
    <row r="34" spans="1:43" s="159" customFormat="1" ht="18" customHeight="1" x14ac:dyDescent="0.25">
      <c r="A34" s="132" t="str">
        <f>Config!$B$23</f>
        <v>CALZ</v>
      </c>
      <c r="B34" s="127">
        <f>METAS!$AY$103</f>
        <v>454</v>
      </c>
      <c r="C34" s="99">
        <f>ROUNDUP((B34/12)*Config!$C$6,0)</f>
        <v>190</v>
      </c>
      <c r="D34" s="127">
        <f>ACUMULADO!$BA$16</f>
        <v>49</v>
      </c>
      <c r="E34" s="99"/>
      <c r="F34" s="138">
        <f t="shared" si="20"/>
        <v>19</v>
      </c>
      <c r="G34" s="133">
        <f t="shared" si="21"/>
        <v>25.789473684210527</v>
      </c>
      <c r="H34" s="134">
        <f t="shared" si="17"/>
        <v>25.789473684210527</v>
      </c>
      <c r="I34" s="134" t="str">
        <f t="shared" si="18"/>
        <v/>
      </c>
      <c r="J34" s="135" t="str">
        <f t="shared" si="19"/>
        <v/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158"/>
      <c r="V34" s="94"/>
      <c r="W34" s="18"/>
      <c r="X34" s="18"/>
      <c r="Y34" s="18"/>
      <c r="Z34" s="158"/>
      <c r="AA34" s="18"/>
      <c r="AB34" s="18"/>
      <c r="AC34" s="18"/>
      <c r="AD34" s="18"/>
      <c r="AE34" s="18"/>
      <c r="AF34" s="18"/>
      <c r="AG34" s="149"/>
      <c r="AH34" s="48"/>
      <c r="AI34" s="48"/>
      <c r="AJ34" s="48"/>
      <c r="AL34" s="49" t="str">
        <f t="shared" si="13"/>
        <v>CALZ</v>
      </c>
      <c r="AM34" s="51">
        <f t="shared" si="15"/>
        <v>190</v>
      </c>
      <c r="AN34" s="50">
        <f t="shared" si="14"/>
        <v>49</v>
      </c>
      <c r="AO34" s="51" t="e">
        <f>#REF!</f>
        <v>#REF!</v>
      </c>
      <c r="AP34" s="183">
        <f t="shared" si="16"/>
        <v>25.789473684210527</v>
      </c>
      <c r="AQ34" s="184" t="e">
        <f>#REF!</f>
        <v>#REF!</v>
      </c>
    </row>
    <row r="35" spans="1:43" s="159" customFormat="1" ht="18" customHeight="1" x14ac:dyDescent="0.25">
      <c r="A35" s="132" t="str">
        <f>Config!$B$24</f>
        <v>PUEB</v>
      </c>
      <c r="B35" s="127">
        <f>METAS!$AZ$103</f>
        <v>495</v>
      </c>
      <c r="C35" s="99">
        <f>ROUNDUP((B35/12)*Config!$C$6,0)</f>
        <v>207</v>
      </c>
      <c r="D35" s="127">
        <f>ACUMULADO!$BB$16</f>
        <v>56</v>
      </c>
      <c r="E35" s="99"/>
      <c r="F35" s="138">
        <f t="shared" si="20"/>
        <v>19</v>
      </c>
      <c r="G35" s="133">
        <f t="shared" ref="G35" si="22">IFERROR(D35*100/C35,0)</f>
        <v>27.053140096618357</v>
      </c>
      <c r="H35" s="134">
        <f t="shared" ref="H35" si="23">IF(G35&gt;$J$24,G35,"")</f>
        <v>27.053140096618357</v>
      </c>
      <c r="I35" s="134" t="str">
        <f t="shared" ref="I35" si="24">IF(AND(G35&gt;=$H$24, G35&lt;=$J$24),G35,"")</f>
        <v/>
      </c>
      <c r="J35" s="135" t="str">
        <f t="shared" ref="J35" si="25">IF(G35&lt;$H$24,G35,"")</f>
        <v/>
      </c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158"/>
      <c r="W35" s="158"/>
      <c r="X35" s="18"/>
      <c r="Y35" s="18"/>
      <c r="Z35" s="158"/>
      <c r="AA35" s="18"/>
      <c r="AB35" s="18"/>
      <c r="AC35" s="18"/>
      <c r="AD35" s="18"/>
      <c r="AE35" s="18"/>
      <c r="AF35" s="18"/>
      <c r="AG35" s="149"/>
      <c r="AH35" s="48"/>
      <c r="AI35" s="48"/>
      <c r="AJ35" s="48"/>
      <c r="AL35" s="49" t="str">
        <f>A35</f>
        <v>PUEB</v>
      </c>
      <c r="AM35" s="51">
        <f>C35</f>
        <v>207</v>
      </c>
      <c r="AN35" s="50">
        <f>D35</f>
        <v>56</v>
      </c>
      <c r="AO35" s="51" t="e">
        <f>#REF!</f>
        <v>#REF!</v>
      </c>
      <c r="AP35" s="183" t="e">
        <f>#REF!</f>
        <v>#REF!</v>
      </c>
      <c r="AQ35" s="184" t="e">
        <f>#REF!</f>
        <v>#REF!</v>
      </c>
    </row>
    <row r="36" spans="1:43" s="159" customFormat="1" ht="18" customHeight="1" x14ac:dyDescent="0.25">
      <c r="A36" s="163"/>
      <c r="E36" s="159" t="s">
        <v>225</v>
      </c>
      <c r="F36" s="159">
        <v>2017</v>
      </c>
      <c r="G36" s="164">
        <v>2018</v>
      </c>
      <c r="H36" s="48">
        <v>2019</v>
      </c>
      <c r="I36" s="48">
        <v>2020</v>
      </c>
      <c r="J36" s="48">
        <v>2021</v>
      </c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158"/>
      <c r="V36" s="94"/>
      <c r="W36" s="18"/>
      <c r="X36" s="18"/>
      <c r="Y36" s="18"/>
      <c r="Z36" s="158"/>
      <c r="AA36" s="18"/>
      <c r="AB36" s="18"/>
      <c r="AC36" s="18"/>
      <c r="AD36" s="18"/>
      <c r="AE36" s="18"/>
      <c r="AF36" s="18"/>
      <c r="AG36" s="149"/>
      <c r="AH36" s="48"/>
      <c r="AI36" s="48"/>
      <c r="AJ36" s="48"/>
      <c r="AO36" s="48"/>
      <c r="AP36" s="4"/>
    </row>
    <row r="37" spans="1:43" s="159" customFormat="1" ht="18" customHeight="1" x14ac:dyDescent="0.25">
      <c r="A37" s="163"/>
      <c r="E37" s="159" t="s">
        <v>229</v>
      </c>
      <c r="F37" s="103">
        <v>42</v>
      </c>
      <c r="G37" s="185">
        <v>36.799999999999997</v>
      </c>
      <c r="H37" s="48">
        <v>31.6</v>
      </c>
      <c r="I37" s="48">
        <v>26.4</v>
      </c>
      <c r="J37" s="48">
        <v>21</v>
      </c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158"/>
      <c r="V37" s="94"/>
      <c r="W37" s="18"/>
      <c r="X37" s="18"/>
      <c r="Y37" s="18"/>
      <c r="Z37" s="158"/>
      <c r="AA37" s="18"/>
      <c r="AB37" s="18"/>
      <c r="AC37" s="18"/>
      <c r="AD37" s="18"/>
      <c r="AE37" s="18"/>
      <c r="AF37" s="18"/>
      <c r="AG37" s="149"/>
      <c r="AH37" s="48"/>
      <c r="AI37" s="48"/>
      <c r="AJ37" s="48"/>
      <c r="AO37" s="48"/>
      <c r="AP37" s="4"/>
    </row>
    <row r="38" spans="1:43" s="159" customFormat="1" ht="18" customHeight="1" x14ac:dyDescent="0.25">
      <c r="A38" s="163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158"/>
      <c r="V38" s="94"/>
      <c r="W38" s="18"/>
      <c r="X38" s="18"/>
      <c r="Y38" s="18"/>
      <c r="Z38" s="158"/>
      <c r="AA38" s="18"/>
      <c r="AB38" s="18"/>
      <c r="AC38" s="18"/>
      <c r="AD38" s="18"/>
      <c r="AE38" s="18"/>
      <c r="AF38" s="18"/>
      <c r="AG38" s="149"/>
      <c r="AH38" s="48"/>
      <c r="AI38" s="48"/>
      <c r="AJ38" s="48"/>
      <c r="AO38" s="48"/>
      <c r="AP38" s="4"/>
    </row>
    <row r="39" spans="1:43" s="159" customFormat="1" ht="18" customHeight="1" x14ac:dyDescent="0.25">
      <c r="A39" s="163"/>
      <c r="E39" s="159" t="s">
        <v>227</v>
      </c>
      <c r="F39" s="159">
        <v>2017</v>
      </c>
      <c r="G39" s="164">
        <v>2018</v>
      </c>
      <c r="H39" s="48">
        <v>2019</v>
      </c>
      <c r="I39" s="48">
        <v>2020</v>
      </c>
      <c r="J39" s="48">
        <v>2021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158"/>
      <c r="V39" s="94"/>
      <c r="W39" s="18"/>
      <c r="X39" s="18"/>
      <c r="Y39" s="18"/>
      <c r="Z39" s="158"/>
      <c r="AA39" s="18"/>
      <c r="AB39" s="18"/>
      <c r="AC39" s="18"/>
      <c r="AD39" s="18"/>
      <c r="AE39" s="18"/>
      <c r="AF39" s="18"/>
      <c r="AG39" s="149"/>
      <c r="AH39" s="48"/>
      <c r="AI39" s="48"/>
      <c r="AJ39" s="48"/>
      <c r="AO39" s="48"/>
      <c r="AP39" s="4"/>
    </row>
    <row r="40" spans="1:43" s="159" customFormat="1" ht="18" customHeight="1" x14ac:dyDescent="0.25">
      <c r="A40" s="163"/>
      <c r="E40" s="159" t="s">
        <v>229</v>
      </c>
      <c r="F40" s="159">
        <v>37.9</v>
      </c>
      <c r="G40" s="185">
        <v>33.200000000000003</v>
      </c>
      <c r="H40" s="48">
        <v>28.5</v>
      </c>
      <c r="I40" s="48">
        <v>23.8</v>
      </c>
      <c r="J40" s="48">
        <v>19</v>
      </c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158"/>
      <c r="V40" s="94"/>
      <c r="W40" s="18"/>
      <c r="X40" s="18"/>
      <c r="Y40" s="18"/>
      <c r="Z40" s="158"/>
      <c r="AA40" s="18"/>
      <c r="AB40" s="18"/>
      <c r="AC40" s="18"/>
      <c r="AD40" s="18"/>
      <c r="AE40" s="18"/>
      <c r="AF40" s="18"/>
      <c r="AG40" s="149"/>
      <c r="AH40" s="48"/>
      <c r="AI40" s="48"/>
      <c r="AJ40" s="48"/>
      <c r="AO40" s="48"/>
      <c r="AP40" s="4"/>
    </row>
    <row r="41" spans="1:43" s="159" customFormat="1" ht="18" customHeight="1" x14ac:dyDescent="0.25">
      <c r="A41" s="163"/>
      <c r="H41" s="48"/>
      <c r="I41" s="48"/>
      <c r="J41" s="48"/>
      <c r="K41" s="105"/>
      <c r="L41" s="48"/>
      <c r="M41" s="48"/>
      <c r="N41" s="48"/>
      <c r="O41" s="48"/>
      <c r="P41" s="48"/>
      <c r="Q41" s="48"/>
      <c r="R41" s="48"/>
      <c r="S41" s="48"/>
      <c r="T41" s="48"/>
      <c r="U41" s="158"/>
      <c r="V41" s="94"/>
      <c r="W41" s="18"/>
      <c r="X41" s="18"/>
      <c r="Y41" s="18"/>
      <c r="Z41" s="158"/>
      <c r="AA41" s="18"/>
      <c r="AB41" s="18"/>
      <c r="AC41" s="18"/>
      <c r="AD41" s="18"/>
      <c r="AE41" s="18"/>
      <c r="AF41" s="18"/>
      <c r="AG41" s="149"/>
      <c r="AH41" s="48"/>
      <c r="AI41" s="48"/>
      <c r="AJ41" s="48"/>
      <c r="AO41" s="48"/>
      <c r="AP41" s="4"/>
    </row>
    <row r="42" spans="1:43" s="159" customFormat="1" ht="18" customHeight="1" x14ac:dyDescent="0.25">
      <c r="A42" s="163"/>
      <c r="B42" s="48"/>
      <c r="C42" s="101"/>
      <c r="D42" s="102"/>
      <c r="E42" s="102"/>
      <c r="F42" s="103"/>
      <c r="G42" s="103"/>
      <c r="H42" s="103"/>
      <c r="I42" s="186"/>
      <c r="J42" s="18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158"/>
      <c r="W42" s="18"/>
      <c r="X42" s="18"/>
      <c r="Y42" s="18"/>
      <c r="Z42" s="158"/>
      <c r="AA42" s="18"/>
      <c r="AB42" s="18"/>
      <c r="AC42" s="18"/>
      <c r="AD42" s="18"/>
      <c r="AE42" s="18"/>
      <c r="AF42" s="18"/>
      <c r="AG42" s="149"/>
      <c r="AH42" s="48"/>
      <c r="AI42" s="48"/>
      <c r="AJ42" s="48"/>
      <c r="AO42" s="48"/>
      <c r="AP42" s="4"/>
    </row>
    <row r="43" spans="1:43" s="159" customFormat="1" ht="18" customHeight="1" x14ac:dyDescent="0.25">
      <c r="A43" s="5" t="str">
        <f>METAS!$B$104</f>
        <v>NIÑOS DE 4 MESES QUE  INICIAN SUMPLEMENTACIÓN CON HIERRO EN GOTAS</v>
      </c>
      <c r="B43" s="48"/>
      <c r="C43" s="101"/>
      <c r="D43" s="102"/>
      <c r="E43" s="102"/>
      <c r="F43" s="103"/>
      <c r="G43" s="103"/>
      <c r="H43" s="103"/>
      <c r="I43" s="189"/>
      <c r="J43" s="187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158"/>
      <c r="V43" s="98" t="str">
        <f>A43</f>
        <v>NIÑOS DE 4 MESES QUE  INICIAN SUMPLEMENTACIÓN CON HIERRO EN GOTAS</v>
      </c>
      <c r="W43" s="18"/>
      <c r="X43" s="18"/>
      <c r="Y43" s="18"/>
      <c r="Z43" s="158"/>
      <c r="AA43" s="18"/>
      <c r="AB43" s="18"/>
      <c r="AC43" s="18"/>
      <c r="AD43" s="18"/>
      <c r="AE43" s="18"/>
      <c r="AF43" s="18"/>
      <c r="AG43" s="149"/>
      <c r="AH43" s="48"/>
      <c r="AI43" s="48"/>
      <c r="AJ43" s="48"/>
      <c r="AL43" s="48" t="str">
        <f t="shared" ref="AL43:AL50" si="26">A43</f>
        <v>NIÑOS DE 4 MESES QUE  INICIAN SUMPLEMENTACIÓN CON HIERRO EN GOTAS</v>
      </c>
      <c r="AM43" s="48"/>
      <c r="AN43" s="48"/>
      <c r="AO43" s="48"/>
      <c r="AP43" s="4"/>
      <c r="AQ43" s="48"/>
    </row>
    <row r="44" spans="1:43" s="159" customFormat="1" ht="48" customHeight="1" thickBot="1" x14ac:dyDescent="0.3">
      <c r="A44" s="107" t="s">
        <v>2</v>
      </c>
      <c r="B44" s="108" t="s">
        <v>275</v>
      </c>
      <c r="C44" s="109" t="s">
        <v>192</v>
      </c>
      <c r="D44" s="108" t="s">
        <v>276</v>
      </c>
      <c r="E44" s="108" t="s">
        <v>1</v>
      </c>
      <c r="F44" s="110"/>
      <c r="G44" s="111" t="s">
        <v>121</v>
      </c>
      <c r="H44" s="112" t="str">
        <f>"DEFICIENTE &lt; = "&amp;$H$3</f>
        <v>DEFICIENTE &lt; = 90</v>
      </c>
      <c r="I44" s="112" t="str">
        <f>"PROCESO &gt; "&amp;$H$3&amp;"  -  &lt; "&amp;$I$3</f>
        <v>PROCESO &gt; 90  -  &lt; 100</v>
      </c>
      <c r="J44" s="112" t="str">
        <f>"OPTIMO &gt; = "&amp;$I$3</f>
        <v>OPTIMO &gt; = 100</v>
      </c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158"/>
      <c r="V44" s="137" t="str">
        <f>$V$1&amp;"  "&amp;V43&amp;"  "&amp;$V$3&amp;"  "&amp;$V$2</f>
        <v>RED. MOYOBAMBA:  NIÑOS DE 4 MESES QUE  INICIAN SUMPLEMENTACIÓN CON HIERRO EN GOTAS  - POR MICROREDES :   ENERO - MAYO 2022</v>
      </c>
      <c r="W44" s="18"/>
      <c r="X44" s="18"/>
      <c r="Y44" s="18"/>
      <c r="Z44" s="158"/>
      <c r="AA44" s="18"/>
      <c r="AB44" s="18"/>
      <c r="AC44" s="18"/>
      <c r="AD44" s="18"/>
      <c r="AE44" s="18"/>
      <c r="AF44" s="18"/>
      <c r="AG44" s="149"/>
      <c r="AH44" s="48"/>
      <c r="AI44" s="48"/>
      <c r="AJ44" s="48"/>
      <c r="AL44" s="113" t="str">
        <f t="shared" si="26"/>
        <v>ESTABLECIMIENTOS</v>
      </c>
      <c r="AM44" s="114" t="s">
        <v>230</v>
      </c>
      <c r="AN44" s="115" t="s">
        <v>231</v>
      </c>
      <c r="AO44" s="116" t="str">
        <f t="shared" ref="AO44:AO54" si="27">D44</f>
        <v>Inicio Sup</v>
      </c>
      <c r="AP44" s="116" t="str">
        <f t="shared" ref="AP44:AP53" si="28">G44</f>
        <v>%</v>
      </c>
      <c r="AQ44" s="117" t="s">
        <v>232</v>
      </c>
    </row>
    <row r="45" spans="1:43" s="159" customFormat="1" ht="18" customHeight="1" thickBot="1" x14ac:dyDescent="0.3">
      <c r="A45" s="118" t="str">
        <f>Config!$B$15</f>
        <v>RED</v>
      </c>
      <c r="B45" s="119">
        <f>SUM(B46:B54)</f>
        <v>2309.58</v>
      </c>
      <c r="C45" s="119">
        <f>SUM(C46:C54)</f>
        <v>967</v>
      </c>
      <c r="D45" s="119">
        <f>SUM(D46:D54)</f>
        <v>1004</v>
      </c>
      <c r="E45" s="119">
        <f>Config!$D$9</f>
        <v>100</v>
      </c>
      <c r="F45" s="120"/>
      <c r="G45" s="119">
        <f>IFERROR(ROUND(D45*100/C45,1),0)</f>
        <v>103.8</v>
      </c>
      <c r="H45" s="121" t="str">
        <f t="shared" ref="H45:H54" si="29">IF(G45&lt;=$H$3,G45,"")</f>
        <v/>
      </c>
      <c r="I45" s="121" t="str">
        <f t="shared" ref="I45:I54" si="30">IF(G45&gt;$H$3,IF(G45&lt;$I$3,G45,""),"")</f>
        <v/>
      </c>
      <c r="J45" s="119">
        <f t="shared" ref="J45:J54" si="31">IF(G45&gt;=$I$3,G45,"")</f>
        <v>103.8</v>
      </c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158"/>
      <c r="V45" s="95"/>
      <c r="W45" s="18"/>
      <c r="X45" s="18"/>
      <c r="Y45" s="18"/>
      <c r="Z45" s="158"/>
      <c r="AA45" s="18"/>
      <c r="AB45" s="18"/>
      <c r="AC45" s="18"/>
      <c r="AD45" s="18"/>
      <c r="AE45" s="18"/>
      <c r="AF45" s="18"/>
      <c r="AG45" s="149"/>
      <c r="AH45" s="48"/>
      <c r="AI45" s="48"/>
      <c r="AJ45" s="48"/>
      <c r="AL45" s="123" t="str">
        <f t="shared" si="26"/>
        <v>RED</v>
      </c>
      <c r="AM45" s="124">
        <f>SUM(AM46:AM53)</f>
        <v>179.77500000000003</v>
      </c>
      <c r="AN45" s="125">
        <f t="shared" ref="AN45:AN53" si="32">C45</f>
        <v>967</v>
      </c>
      <c r="AO45" s="124">
        <f t="shared" si="27"/>
        <v>1004</v>
      </c>
      <c r="AP45" s="125">
        <f t="shared" si="28"/>
        <v>103.8</v>
      </c>
      <c r="AQ45" s="125">
        <f>AN45-AP45</f>
        <v>863.2</v>
      </c>
    </row>
    <row r="46" spans="1:43" s="159" customFormat="1" ht="18" hidden="1" customHeight="1" x14ac:dyDescent="0.25">
      <c r="A46" s="132" t="str">
        <f>Config!$B$16</f>
        <v>HOSP</v>
      </c>
      <c r="B46" s="127">
        <f>METAS!$AR$104</f>
        <v>0</v>
      </c>
      <c r="C46" s="127">
        <f>ROUNDUP((B46/12)*Config!$C$6,0)</f>
        <v>0</v>
      </c>
      <c r="D46" s="127">
        <f>ACUMULADO!$AT$17</f>
        <v>0</v>
      </c>
      <c r="E46" s="190">
        <f>E45</f>
        <v>100</v>
      </c>
      <c r="F46" s="138"/>
      <c r="G46" s="133">
        <f>IFERROR(ROUND(D46*100/C46,1),0)</f>
        <v>0</v>
      </c>
      <c r="H46" s="134">
        <f t="shared" si="29"/>
        <v>0</v>
      </c>
      <c r="I46" s="134" t="str">
        <f t="shared" si="30"/>
        <v/>
      </c>
      <c r="J46" s="135" t="str">
        <f t="shared" si="31"/>
        <v/>
      </c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158"/>
      <c r="V46" s="98"/>
      <c r="W46" s="18"/>
      <c r="X46" s="18"/>
      <c r="Y46" s="18"/>
      <c r="Z46" s="158"/>
      <c r="AA46" s="18"/>
      <c r="AB46" s="18"/>
      <c r="AC46" s="18"/>
      <c r="AD46" s="18"/>
      <c r="AE46" s="18"/>
      <c r="AF46" s="18"/>
      <c r="AG46" s="149"/>
      <c r="AH46" s="48"/>
      <c r="AI46" s="48"/>
      <c r="AJ46" s="48"/>
      <c r="AL46" s="49" t="str">
        <f t="shared" si="26"/>
        <v>HOSP</v>
      </c>
      <c r="AM46" s="50">
        <f>IF(Config!$C$6&gt;=12,"0",(B46/12))</f>
        <v>0</v>
      </c>
      <c r="AN46" s="51">
        <f t="shared" si="32"/>
        <v>0</v>
      </c>
      <c r="AO46" s="51">
        <f t="shared" si="27"/>
        <v>0</v>
      </c>
      <c r="AP46" s="183">
        <f t="shared" si="28"/>
        <v>0</v>
      </c>
      <c r="AQ46" s="52">
        <f t="shared" ref="AQ46:AQ53" si="33">AN46-AO46</f>
        <v>0</v>
      </c>
    </row>
    <row r="47" spans="1:43" s="159" customFormat="1" ht="18" customHeight="1" x14ac:dyDescent="0.25">
      <c r="A47" s="132" t="str">
        <f>Config!$B$17</f>
        <v>LLUI</v>
      </c>
      <c r="B47" s="127">
        <f>METAS!$AS$104</f>
        <v>955.98</v>
      </c>
      <c r="C47" s="99">
        <f>ROUNDUP((B47/12)*Config!$C$6,0)</f>
        <v>399</v>
      </c>
      <c r="D47" s="127">
        <f>ACUMULADO!$AU$17</f>
        <v>376</v>
      </c>
      <c r="E47" s="190">
        <f t="shared" ref="E47:E54" si="34">E46</f>
        <v>100</v>
      </c>
      <c r="F47" s="138"/>
      <c r="G47" s="133">
        <f>IFERROR(ROUND(D47*100/C47,1),0)</f>
        <v>94.2</v>
      </c>
      <c r="H47" s="134" t="str">
        <f t="shared" si="29"/>
        <v/>
      </c>
      <c r="I47" s="134">
        <f t="shared" si="30"/>
        <v>94.2</v>
      </c>
      <c r="J47" s="135" t="str">
        <f t="shared" si="31"/>
        <v/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158"/>
      <c r="V47" s="98"/>
      <c r="W47" s="161"/>
      <c r="X47" s="161"/>
      <c r="Y47" s="18"/>
      <c r="Z47" s="158"/>
      <c r="AA47" s="18"/>
      <c r="AB47" s="18"/>
      <c r="AC47" s="18"/>
      <c r="AD47" s="18"/>
      <c r="AE47" s="18"/>
      <c r="AF47" s="18"/>
      <c r="AG47" s="149"/>
      <c r="AH47" s="48"/>
      <c r="AI47" s="48"/>
      <c r="AJ47" s="48"/>
      <c r="AL47" s="49" t="str">
        <f t="shared" si="26"/>
        <v>LLUI</v>
      </c>
      <c r="AM47" s="50">
        <f>IF(Config!$C$6&gt;=12,"0",(B47/12))</f>
        <v>79.665000000000006</v>
      </c>
      <c r="AN47" s="51">
        <f t="shared" si="32"/>
        <v>399</v>
      </c>
      <c r="AO47" s="51">
        <f t="shared" si="27"/>
        <v>376</v>
      </c>
      <c r="AP47" s="183">
        <f t="shared" si="28"/>
        <v>94.2</v>
      </c>
      <c r="AQ47" s="52">
        <f t="shared" si="33"/>
        <v>23</v>
      </c>
    </row>
    <row r="48" spans="1:43" s="159" customFormat="1" ht="18" customHeight="1" x14ac:dyDescent="0.25">
      <c r="A48" s="132" t="str">
        <f>Config!$B$18</f>
        <v>JERI</v>
      </c>
      <c r="B48" s="127">
        <f>METAS!$AT$104</f>
        <v>87.419999999999987</v>
      </c>
      <c r="C48" s="99">
        <f>ROUNDUP((B48/12)*Config!$C$6,0)</f>
        <v>37</v>
      </c>
      <c r="D48" s="127">
        <f>ACUMULADO!$AV$17</f>
        <v>53</v>
      </c>
      <c r="E48" s="190">
        <f t="shared" si="34"/>
        <v>100</v>
      </c>
      <c r="F48" s="138"/>
      <c r="G48" s="133">
        <f t="shared" ref="G48:G53" si="35">IFERROR(ROUND(D48*100/C48,1),0)</f>
        <v>143.19999999999999</v>
      </c>
      <c r="H48" s="134" t="str">
        <f t="shared" si="29"/>
        <v/>
      </c>
      <c r="I48" s="134" t="str">
        <f t="shared" si="30"/>
        <v/>
      </c>
      <c r="J48" s="135">
        <f t="shared" si="31"/>
        <v>143.19999999999999</v>
      </c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158"/>
      <c r="V48" s="48"/>
      <c r="W48" s="18"/>
      <c r="X48" s="18"/>
      <c r="Y48" s="18"/>
      <c r="Z48" s="158"/>
      <c r="AA48" s="18"/>
      <c r="AB48" s="18"/>
      <c r="AC48" s="18"/>
      <c r="AD48" s="18"/>
      <c r="AE48" s="18"/>
      <c r="AF48" s="18"/>
      <c r="AG48" s="149"/>
      <c r="AH48" s="48"/>
      <c r="AI48" s="48"/>
      <c r="AJ48" s="48"/>
      <c r="AL48" s="49" t="str">
        <f t="shared" si="26"/>
        <v>JERI</v>
      </c>
      <c r="AM48" s="50">
        <f>IF(Config!$C$6&gt;=12,"0",(B48/12))</f>
        <v>7.2849999999999993</v>
      </c>
      <c r="AN48" s="51">
        <f t="shared" si="32"/>
        <v>37</v>
      </c>
      <c r="AO48" s="51">
        <f t="shared" si="27"/>
        <v>53</v>
      </c>
      <c r="AP48" s="183">
        <f t="shared" si="28"/>
        <v>143.19999999999999</v>
      </c>
      <c r="AQ48" s="52">
        <f t="shared" si="33"/>
        <v>-16</v>
      </c>
    </row>
    <row r="49" spans="1:43" s="159" customFormat="1" ht="18" customHeight="1" x14ac:dyDescent="0.25">
      <c r="A49" s="132" t="str">
        <f>Config!$B$19</f>
        <v>YANT</v>
      </c>
      <c r="B49" s="127">
        <f>METAS!$AU$104</f>
        <v>184.24</v>
      </c>
      <c r="C49" s="99">
        <f>ROUNDUP((B49/12)*Config!$C$6,0)</f>
        <v>77</v>
      </c>
      <c r="D49" s="127">
        <f>ACUMULADO!$AW$17</f>
        <v>63</v>
      </c>
      <c r="E49" s="190">
        <f t="shared" si="34"/>
        <v>100</v>
      </c>
      <c r="F49" s="138"/>
      <c r="G49" s="133">
        <f>IFERROR(ROUND(D49*100/C49,1),0)</f>
        <v>81.8</v>
      </c>
      <c r="H49" s="134">
        <f t="shared" si="29"/>
        <v>81.8</v>
      </c>
      <c r="I49" s="134" t="str">
        <f t="shared" si="30"/>
        <v/>
      </c>
      <c r="J49" s="135" t="str">
        <f t="shared" si="31"/>
        <v/>
      </c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158"/>
      <c r="V49" s="48"/>
      <c r="W49" s="18"/>
      <c r="X49" s="18"/>
      <c r="Y49" s="18"/>
      <c r="Z49" s="158"/>
      <c r="AA49" s="18"/>
      <c r="AB49" s="18"/>
      <c r="AC49" s="18"/>
      <c r="AD49" s="18"/>
      <c r="AE49" s="18"/>
      <c r="AF49" s="18"/>
      <c r="AG49" s="149"/>
      <c r="AH49" s="48"/>
      <c r="AI49" s="48"/>
      <c r="AJ49" s="48"/>
      <c r="AL49" s="49" t="str">
        <f t="shared" si="26"/>
        <v>YANT</v>
      </c>
      <c r="AM49" s="50">
        <f>IF(Config!$C$6&gt;=12,"0",(B49/12))</f>
        <v>15.353333333333333</v>
      </c>
      <c r="AN49" s="51">
        <f t="shared" si="32"/>
        <v>77</v>
      </c>
      <c r="AO49" s="51">
        <f t="shared" si="27"/>
        <v>63</v>
      </c>
      <c r="AP49" s="183">
        <f t="shared" si="28"/>
        <v>81.8</v>
      </c>
      <c r="AQ49" s="52">
        <f t="shared" si="33"/>
        <v>14</v>
      </c>
    </row>
    <row r="50" spans="1:43" s="159" customFormat="1" ht="18" customHeight="1" x14ac:dyDescent="0.25">
      <c r="A50" s="132" t="str">
        <f>Config!$B$20</f>
        <v>SORI</v>
      </c>
      <c r="B50" s="127">
        <f>METAS!$AV$104</f>
        <v>452.13999999999993</v>
      </c>
      <c r="C50" s="99">
        <f>ROUNDUP((B50/12)*Config!$C$6,0)</f>
        <v>189</v>
      </c>
      <c r="D50" s="127">
        <f>ACUMULADO!$AX$17</f>
        <v>242</v>
      </c>
      <c r="E50" s="190">
        <f t="shared" si="34"/>
        <v>100</v>
      </c>
      <c r="F50" s="138"/>
      <c r="G50" s="133">
        <f t="shared" si="35"/>
        <v>128</v>
      </c>
      <c r="H50" s="134" t="str">
        <f t="shared" si="29"/>
        <v/>
      </c>
      <c r="I50" s="134" t="str">
        <f t="shared" si="30"/>
        <v/>
      </c>
      <c r="J50" s="135">
        <f t="shared" si="31"/>
        <v>128</v>
      </c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158"/>
      <c r="V50" s="94"/>
      <c r="W50" s="18"/>
      <c r="X50" s="18"/>
      <c r="Y50" s="18"/>
      <c r="Z50" s="158"/>
      <c r="AA50" s="18"/>
      <c r="AB50" s="18"/>
      <c r="AC50" s="18"/>
      <c r="AD50" s="18"/>
      <c r="AE50" s="18"/>
      <c r="AF50" s="18"/>
      <c r="AG50" s="149"/>
      <c r="AH50" s="48"/>
      <c r="AI50" s="48"/>
      <c r="AJ50" s="48"/>
      <c r="AL50" s="49" t="str">
        <f t="shared" si="26"/>
        <v>SORI</v>
      </c>
      <c r="AM50" s="50">
        <f>IF(Config!$C$6&gt;=12,"0",(B50/12))</f>
        <v>37.678333333333327</v>
      </c>
      <c r="AN50" s="51">
        <f t="shared" si="32"/>
        <v>189</v>
      </c>
      <c r="AO50" s="51">
        <f t="shared" si="27"/>
        <v>242</v>
      </c>
      <c r="AP50" s="183">
        <f t="shared" si="28"/>
        <v>128</v>
      </c>
      <c r="AQ50" s="52">
        <f t="shared" si="33"/>
        <v>-53</v>
      </c>
    </row>
    <row r="51" spans="1:43" s="159" customFormat="1" ht="18" customHeight="1" x14ac:dyDescent="0.25">
      <c r="A51" s="132" t="str">
        <f>Config!$B$21</f>
        <v>JEPE</v>
      </c>
      <c r="B51" s="127">
        <f>METAS!$AW$104</f>
        <v>168.26000000000002</v>
      </c>
      <c r="C51" s="99">
        <f>ROUNDUP((B51/12)*Config!$C$6,0)</f>
        <v>71</v>
      </c>
      <c r="D51" s="127">
        <f>ACUMULADO!$AY$17</f>
        <v>82</v>
      </c>
      <c r="E51" s="190">
        <f t="shared" si="34"/>
        <v>100</v>
      </c>
      <c r="F51" s="138"/>
      <c r="G51" s="133">
        <f>IFERROR(ROUND(D51*100/C51,1),0)</f>
        <v>115.5</v>
      </c>
      <c r="H51" s="134" t="str">
        <f t="shared" si="29"/>
        <v/>
      </c>
      <c r="I51" s="134" t="str">
        <f t="shared" si="30"/>
        <v/>
      </c>
      <c r="J51" s="135">
        <f t="shared" si="31"/>
        <v>115.5</v>
      </c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158"/>
      <c r="V51" s="191"/>
      <c r="W51" s="149"/>
      <c r="X51" s="149"/>
      <c r="Y51" s="18"/>
      <c r="Z51" s="158"/>
      <c r="AA51" s="18"/>
      <c r="AB51" s="18"/>
      <c r="AC51" s="18"/>
      <c r="AD51" s="18"/>
      <c r="AE51" s="18"/>
      <c r="AF51" s="18"/>
      <c r="AG51" s="149"/>
      <c r="AH51" s="48"/>
      <c r="AI51" s="48"/>
      <c r="AJ51" s="48"/>
      <c r="AL51" s="49" t="str">
        <f>A51</f>
        <v>JEPE</v>
      </c>
      <c r="AM51" s="50">
        <f>IF(Config!$C$6&gt;=12,"0",(B51/12))</f>
        <v>14.021666666666668</v>
      </c>
      <c r="AN51" s="51">
        <f>C51</f>
        <v>71</v>
      </c>
      <c r="AO51" s="51">
        <f>D51</f>
        <v>82</v>
      </c>
      <c r="AP51" s="183">
        <f>G51</f>
        <v>115.5</v>
      </c>
      <c r="AQ51" s="52">
        <f>AN51-AO51</f>
        <v>-11</v>
      </c>
    </row>
    <row r="52" spans="1:43" s="159" customFormat="1" ht="18" customHeight="1" x14ac:dyDescent="0.25">
      <c r="A52" s="132" t="str">
        <f>Config!$B$22</f>
        <v>ROQU</v>
      </c>
      <c r="B52" s="127">
        <f>METAS!$AX$104</f>
        <v>173.89999999999998</v>
      </c>
      <c r="C52" s="99">
        <f>ROUNDUP((B52/12)*Config!$C$6,0)</f>
        <v>73</v>
      </c>
      <c r="D52" s="127">
        <f>ACUMULADO!$AZ$17</f>
        <v>74</v>
      </c>
      <c r="E52" s="190">
        <f t="shared" si="34"/>
        <v>100</v>
      </c>
      <c r="F52" s="138"/>
      <c r="G52" s="133">
        <f>IFERROR(ROUND(D52*100/C52,1),0)</f>
        <v>101.4</v>
      </c>
      <c r="H52" s="134" t="str">
        <f t="shared" si="29"/>
        <v/>
      </c>
      <c r="I52" s="134" t="str">
        <f t="shared" si="30"/>
        <v/>
      </c>
      <c r="J52" s="135">
        <f t="shared" si="31"/>
        <v>101.4</v>
      </c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158"/>
      <c r="W52" s="18"/>
      <c r="X52" s="18"/>
      <c r="Y52" s="18"/>
      <c r="Z52" s="158"/>
      <c r="AA52" s="18"/>
      <c r="AB52" s="18"/>
      <c r="AC52" s="18"/>
      <c r="AD52" s="18"/>
      <c r="AE52" s="18"/>
      <c r="AF52" s="18"/>
      <c r="AG52" s="149"/>
      <c r="AH52" s="48"/>
      <c r="AI52" s="48"/>
      <c r="AJ52" s="48"/>
      <c r="AL52" s="49" t="str">
        <f>A52</f>
        <v>ROQU</v>
      </c>
      <c r="AM52" s="50">
        <f>IF(Config!$C$6&gt;=12,"0",(B52/12))</f>
        <v>14.491666666666665</v>
      </c>
      <c r="AN52" s="51">
        <f>C52</f>
        <v>73</v>
      </c>
      <c r="AO52" s="51">
        <f>D52</f>
        <v>74</v>
      </c>
      <c r="AP52" s="183">
        <f>G52</f>
        <v>101.4</v>
      </c>
      <c r="AQ52" s="52">
        <f>AN52-AO52</f>
        <v>-1</v>
      </c>
    </row>
    <row r="53" spans="1:43" s="159" customFormat="1" ht="18" customHeight="1" x14ac:dyDescent="0.25">
      <c r="A53" s="132" t="str">
        <f>Config!$B$23</f>
        <v>CALZ</v>
      </c>
      <c r="B53" s="127">
        <f>METAS!$AY$104</f>
        <v>135.35999999999999</v>
      </c>
      <c r="C53" s="99">
        <f>ROUNDUP((B53/12)*Config!$C$6,0)</f>
        <v>57</v>
      </c>
      <c r="D53" s="127">
        <f>ACUMULADO!$BA$17</f>
        <v>45</v>
      </c>
      <c r="E53" s="190">
        <f t="shared" si="34"/>
        <v>100</v>
      </c>
      <c r="F53" s="138"/>
      <c r="G53" s="133">
        <f t="shared" si="35"/>
        <v>78.900000000000006</v>
      </c>
      <c r="H53" s="134">
        <f t="shared" si="29"/>
        <v>78.900000000000006</v>
      </c>
      <c r="I53" s="134" t="str">
        <f t="shared" si="30"/>
        <v/>
      </c>
      <c r="J53" s="135" t="str">
        <f t="shared" si="31"/>
        <v/>
      </c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158"/>
      <c r="V53" s="94"/>
      <c r="W53" s="18"/>
      <c r="X53" s="18"/>
      <c r="Y53" s="18"/>
      <c r="Z53" s="158"/>
      <c r="AA53" s="18"/>
      <c r="AB53" s="18"/>
      <c r="AC53" s="18"/>
      <c r="AD53" s="18"/>
      <c r="AE53" s="18"/>
      <c r="AF53" s="18"/>
      <c r="AG53" s="149"/>
      <c r="AH53" s="48"/>
      <c r="AI53" s="48"/>
      <c r="AJ53" s="48"/>
      <c r="AL53" s="49" t="str">
        <f>A54</f>
        <v>PUEB</v>
      </c>
      <c r="AM53" s="50">
        <f>IF(Config!$C$6&gt;=12,"0",(B53/12))</f>
        <v>11.28</v>
      </c>
      <c r="AN53" s="51">
        <f t="shared" si="32"/>
        <v>57</v>
      </c>
      <c r="AO53" s="51">
        <f t="shared" si="27"/>
        <v>45</v>
      </c>
      <c r="AP53" s="183">
        <f t="shared" si="28"/>
        <v>78.900000000000006</v>
      </c>
      <c r="AQ53" s="52">
        <f t="shared" si="33"/>
        <v>12</v>
      </c>
    </row>
    <row r="54" spans="1:43" s="159" customFormat="1" ht="18" customHeight="1" x14ac:dyDescent="0.25">
      <c r="A54" s="132" t="str">
        <f>Config!$B$24</f>
        <v>PUEB</v>
      </c>
      <c r="B54" s="127">
        <f>METAS!$AZ$104</f>
        <v>152.27999999999997</v>
      </c>
      <c r="C54" s="99">
        <f>ROUNDUP((B54/12)*Config!$C$6,0)</f>
        <v>64</v>
      </c>
      <c r="D54" s="127">
        <f>ACUMULADO!$BB$17</f>
        <v>69</v>
      </c>
      <c r="E54" s="190">
        <f t="shared" si="34"/>
        <v>100</v>
      </c>
      <c r="F54" s="138"/>
      <c r="G54" s="133">
        <f t="shared" ref="G54" si="36">IFERROR(ROUND(D54*100/C54,1),0)</f>
        <v>107.8</v>
      </c>
      <c r="H54" s="134" t="str">
        <f t="shared" si="29"/>
        <v/>
      </c>
      <c r="I54" s="134" t="str">
        <f t="shared" si="30"/>
        <v/>
      </c>
      <c r="J54" s="135">
        <f t="shared" si="31"/>
        <v>107.8</v>
      </c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158"/>
      <c r="W54" s="18"/>
      <c r="X54" s="18"/>
      <c r="Y54" s="18"/>
      <c r="Z54" s="158"/>
      <c r="AA54" s="18"/>
      <c r="AB54" s="18"/>
      <c r="AC54" s="18"/>
      <c r="AD54" s="18"/>
      <c r="AE54" s="18"/>
      <c r="AF54" s="18"/>
      <c r="AG54" s="149"/>
      <c r="AH54" s="48"/>
      <c r="AI54" s="48"/>
      <c r="AJ54" s="48"/>
      <c r="AL54" s="49" t="e">
        <f>#REF!</f>
        <v>#REF!</v>
      </c>
      <c r="AM54" s="50">
        <f>IF(Config!$C$6&gt;=12,"0",(B54/12))</f>
        <v>12.689999999999998</v>
      </c>
      <c r="AN54" s="51">
        <f>C54</f>
        <v>64</v>
      </c>
      <c r="AO54" s="51">
        <f t="shared" si="27"/>
        <v>69</v>
      </c>
      <c r="AP54" s="183">
        <f>G54</f>
        <v>107.8</v>
      </c>
      <c r="AQ54" s="52">
        <f>AN54-AO54</f>
        <v>-5</v>
      </c>
    </row>
    <row r="55" spans="1:43" s="159" customFormat="1" ht="18" customHeight="1" x14ac:dyDescent="0.25">
      <c r="A55" s="163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158"/>
      <c r="V55" s="94"/>
      <c r="W55" s="18"/>
      <c r="X55" s="18"/>
      <c r="Y55" s="18"/>
      <c r="Z55" s="158"/>
      <c r="AA55" s="18"/>
      <c r="AB55" s="18"/>
      <c r="AC55" s="18"/>
      <c r="AD55" s="18"/>
      <c r="AE55" s="18"/>
      <c r="AF55" s="18"/>
      <c r="AG55" s="149"/>
      <c r="AH55" s="48"/>
      <c r="AI55" s="48"/>
      <c r="AJ55" s="48"/>
      <c r="AO55" s="48"/>
      <c r="AP55" s="4"/>
    </row>
    <row r="56" spans="1:43" s="159" customFormat="1" ht="18" customHeight="1" x14ac:dyDescent="0.25">
      <c r="A56" s="163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158"/>
      <c r="V56" s="94"/>
      <c r="W56" s="18"/>
      <c r="X56" s="18"/>
      <c r="Y56" s="18"/>
      <c r="Z56" s="158"/>
      <c r="AA56" s="18"/>
      <c r="AB56" s="18"/>
      <c r="AC56" s="18"/>
      <c r="AD56" s="18"/>
      <c r="AE56" s="18"/>
      <c r="AF56" s="18"/>
      <c r="AG56" s="149"/>
      <c r="AH56" s="48"/>
      <c r="AI56" s="48"/>
      <c r="AJ56" s="48"/>
      <c r="AO56" s="48"/>
      <c r="AP56" s="4"/>
    </row>
    <row r="57" spans="1:43" s="159" customFormat="1" ht="18" customHeight="1" x14ac:dyDescent="0.25">
      <c r="A57" s="163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158"/>
      <c r="V57" s="94"/>
      <c r="W57" s="18"/>
      <c r="X57" s="18"/>
      <c r="Y57" s="18"/>
      <c r="Z57" s="158"/>
      <c r="AA57" s="18"/>
      <c r="AB57" s="18"/>
      <c r="AC57" s="18"/>
      <c r="AD57" s="18"/>
      <c r="AE57" s="18"/>
      <c r="AF57" s="18"/>
      <c r="AG57" s="149"/>
      <c r="AH57" s="48"/>
      <c r="AI57" s="48"/>
      <c r="AJ57" s="48"/>
      <c r="AO57" s="48"/>
      <c r="AP57" s="4"/>
    </row>
    <row r="58" spans="1:43" s="159" customFormat="1" ht="18" customHeight="1" x14ac:dyDescent="0.25">
      <c r="A58" s="163"/>
      <c r="H58" s="48"/>
      <c r="I58" s="48"/>
      <c r="J58" s="48"/>
      <c r="K58" s="105"/>
      <c r="L58" s="48"/>
      <c r="M58" s="48"/>
      <c r="N58" s="48"/>
      <c r="O58" s="48"/>
      <c r="P58" s="48"/>
      <c r="Q58" s="48"/>
      <c r="R58" s="48"/>
      <c r="S58" s="48"/>
      <c r="T58" s="48"/>
      <c r="U58" s="158"/>
      <c r="V58" s="94"/>
      <c r="W58" s="18"/>
      <c r="X58" s="18"/>
      <c r="Y58" s="18"/>
      <c r="Z58" s="158"/>
      <c r="AA58" s="18"/>
      <c r="AB58" s="18"/>
      <c r="AC58" s="18"/>
      <c r="AD58" s="18"/>
      <c r="AE58" s="18"/>
      <c r="AF58" s="18"/>
      <c r="AG58" s="149"/>
      <c r="AH58" s="48"/>
      <c r="AI58" s="48"/>
      <c r="AJ58" s="48"/>
      <c r="AO58" s="48"/>
      <c r="AP58" s="4"/>
    </row>
    <row r="59" spans="1:43" s="159" customFormat="1" ht="18" customHeight="1" x14ac:dyDescent="0.25">
      <c r="A59" s="163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158"/>
      <c r="V59" s="94"/>
      <c r="W59" s="18"/>
      <c r="X59" s="18"/>
      <c r="Y59" s="18"/>
      <c r="Z59" s="158"/>
      <c r="AA59" s="18"/>
      <c r="AB59" s="18"/>
      <c r="AC59" s="18"/>
      <c r="AD59" s="18"/>
      <c r="AE59" s="18"/>
      <c r="AF59" s="18"/>
      <c r="AG59" s="149"/>
      <c r="AH59" s="48"/>
      <c r="AI59" s="48"/>
      <c r="AJ59" s="48"/>
      <c r="AO59" s="48"/>
      <c r="AP59" s="4"/>
    </row>
    <row r="60" spans="1:43" s="159" customFormat="1" ht="18" customHeight="1" x14ac:dyDescent="0.25">
      <c r="A60" s="163"/>
      <c r="H60" s="48"/>
      <c r="I60" s="48"/>
      <c r="J60" s="48"/>
      <c r="K60" s="105"/>
      <c r="L60" s="48"/>
      <c r="M60" s="48"/>
      <c r="N60" s="48"/>
      <c r="O60" s="48"/>
      <c r="P60" s="48"/>
      <c r="Q60" s="48"/>
      <c r="R60" s="48"/>
      <c r="S60" s="48"/>
      <c r="T60" s="48"/>
      <c r="U60" s="158"/>
      <c r="V60" s="94"/>
      <c r="W60" s="18"/>
      <c r="X60" s="18"/>
      <c r="Y60" s="18"/>
      <c r="Z60" s="158"/>
      <c r="AA60" s="18"/>
      <c r="AB60" s="18"/>
      <c r="AC60" s="18"/>
      <c r="AD60" s="18"/>
      <c r="AE60" s="18"/>
      <c r="AF60" s="18"/>
      <c r="AG60" s="149"/>
      <c r="AH60" s="48"/>
      <c r="AI60" s="48"/>
      <c r="AJ60" s="48"/>
      <c r="AO60" s="48"/>
      <c r="AP60" s="4"/>
    </row>
    <row r="61" spans="1:43" s="159" customFormat="1" ht="18" customHeight="1" x14ac:dyDescent="0.25">
      <c r="A61" s="163"/>
      <c r="H61" s="48"/>
      <c r="I61" s="48"/>
      <c r="J61" s="48"/>
      <c r="K61" s="105"/>
      <c r="L61" s="48"/>
      <c r="M61" s="48"/>
      <c r="N61" s="48"/>
      <c r="O61" s="48"/>
      <c r="P61" s="48"/>
      <c r="Q61" s="48"/>
      <c r="R61" s="48"/>
      <c r="S61" s="48"/>
      <c r="T61" s="48"/>
      <c r="U61" s="158"/>
      <c r="V61" s="94"/>
      <c r="W61" s="18"/>
      <c r="X61" s="18"/>
      <c r="Y61" s="18"/>
      <c r="Z61" s="158"/>
      <c r="AA61" s="18"/>
      <c r="AB61" s="18"/>
      <c r="AC61" s="18"/>
      <c r="AD61" s="18"/>
      <c r="AE61" s="18"/>
      <c r="AF61" s="18"/>
      <c r="AG61" s="149"/>
      <c r="AH61" s="48"/>
      <c r="AI61" s="48"/>
      <c r="AJ61" s="48"/>
      <c r="AO61" s="48"/>
      <c r="AP61" s="4"/>
    </row>
    <row r="62" spans="1:43" s="159" customFormat="1" ht="18" customHeight="1" x14ac:dyDescent="0.25">
      <c r="A62" s="163"/>
      <c r="H62" s="48"/>
      <c r="I62" s="48"/>
      <c r="J62" s="48"/>
      <c r="K62" s="105"/>
      <c r="L62" s="48"/>
      <c r="M62" s="48"/>
      <c r="N62" s="48"/>
      <c r="O62" s="48"/>
      <c r="P62" s="48"/>
      <c r="Q62" s="48"/>
      <c r="R62" s="48"/>
      <c r="S62" s="48"/>
      <c r="T62" s="48"/>
      <c r="U62" s="158"/>
      <c r="V62" s="94"/>
      <c r="W62" s="18"/>
      <c r="X62" s="18"/>
      <c r="Y62" s="18"/>
      <c r="Z62" s="158"/>
      <c r="AA62" s="18"/>
      <c r="AB62" s="18"/>
      <c r="AC62" s="18"/>
      <c r="AD62" s="18"/>
      <c r="AE62" s="18"/>
      <c r="AF62" s="18"/>
      <c r="AG62" s="149"/>
      <c r="AH62" s="48"/>
      <c r="AI62" s="48"/>
      <c r="AJ62" s="48"/>
      <c r="AO62" s="48"/>
      <c r="AP62" s="4"/>
    </row>
    <row r="63" spans="1:43" s="159" customFormat="1" ht="18" customHeight="1" x14ac:dyDescent="0.25">
      <c r="A63" s="163"/>
      <c r="B63" s="48"/>
      <c r="C63" s="101"/>
      <c r="D63" s="102"/>
      <c r="E63" s="102"/>
      <c r="F63" s="103"/>
      <c r="G63" s="103"/>
      <c r="H63" s="103"/>
      <c r="I63" s="186"/>
      <c r="J63" s="187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158"/>
      <c r="W63" s="18"/>
      <c r="X63" s="18"/>
      <c r="Y63" s="18"/>
      <c r="Z63" s="158"/>
      <c r="AA63" s="18"/>
      <c r="AB63" s="18"/>
      <c r="AC63" s="18"/>
      <c r="AD63" s="18"/>
      <c r="AE63" s="18"/>
      <c r="AF63" s="18"/>
      <c r="AG63" s="149"/>
      <c r="AH63" s="48"/>
      <c r="AI63" s="48"/>
      <c r="AJ63" s="48"/>
      <c r="AO63" s="48"/>
      <c r="AP63" s="4"/>
    </row>
    <row r="64" spans="1:43" s="159" customFormat="1" ht="18" customHeight="1" x14ac:dyDescent="0.25">
      <c r="A64" s="5" t="str">
        <f>METAS!$B$105</f>
        <v>NIÑOS MENORES DE 12 MESES DE EDAD CON SUPLEMENTO DE HIERRO Y OTROS MICRONUTRIENTES</v>
      </c>
      <c r="B64" s="48"/>
      <c r="C64" s="101"/>
      <c r="D64" s="102"/>
      <c r="E64" s="102"/>
      <c r="F64" s="103"/>
      <c r="G64" s="103"/>
      <c r="H64" s="103"/>
      <c r="I64" s="189"/>
      <c r="J64" s="187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158"/>
      <c r="V64" s="98" t="str">
        <f>A64</f>
        <v>NIÑOS MENORES DE 12 MESES DE EDAD CON SUPLEMENTO DE HIERRO Y OTROS MICRONUTRIENTES</v>
      </c>
      <c r="W64" s="18"/>
      <c r="X64" s="18"/>
      <c r="Y64" s="18"/>
      <c r="Z64" s="158"/>
      <c r="AA64" s="18"/>
      <c r="AB64" s="18"/>
      <c r="AC64" s="18"/>
      <c r="AD64" s="18"/>
      <c r="AE64" s="18"/>
      <c r="AF64" s="18"/>
      <c r="AG64" s="149"/>
      <c r="AH64" s="48"/>
      <c r="AI64" s="48"/>
      <c r="AJ64" s="48"/>
      <c r="AL64" s="48" t="str">
        <f t="shared" ref="AL64:AL71" si="37">A64</f>
        <v>NIÑOS MENORES DE 12 MESES DE EDAD CON SUPLEMENTO DE HIERRO Y OTROS MICRONUTRIENTES</v>
      </c>
      <c r="AM64" s="48"/>
      <c r="AN64" s="48"/>
      <c r="AO64" s="48"/>
      <c r="AP64" s="4"/>
      <c r="AQ64" s="48"/>
    </row>
    <row r="65" spans="1:43" s="159" customFormat="1" ht="48" customHeight="1" thickBot="1" x14ac:dyDescent="0.3">
      <c r="A65" s="107" t="s">
        <v>2</v>
      </c>
      <c r="B65" s="108" t="s">
        <v>275</v>
      </c>
      <c r="C65" s="109" t="s">
        <v>192</v>
      </c>
      <c r="D65" s="108" t="s">
        <v>286</v>
      </c>
      <c r="E65" s="108" t="s">
        <v>1</v>
      </c>
      <c r="F65" s="110"/>
      <c r="G65" s="111" t="s">
        <v>121</v>
      </c>
      <c r="H65" s="112" t="str">
        <f>"DEFICIENTE &lt; = "&amp;$H$3</f>
        <v>DEFICIENTE &lt; = 90</v>
      </c>
      <c r="I65" s="112" t="str">
        <f>"PROCESO &gt; "&amp;$H$3&amp;"  -  &lt; "&amp;$I$3</f>
        <v>PROCESO &gt; 90  -  &lt; 100</v>
      </c>
      <c r="J65" s="112" t="str">
        <f>"OPTIMO &gt; = "&amp;$I$3</f>
        <v>OPTIMO &gt; = 100</v>
      </c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158"/>
      <c r="V65" s="137" t="str">
        <f>$V$1&amp;"  "&amp;V64&amp;"  "&amp;$V$3&amp;"  "&amp;$V$2</f>
        <v>RED. MOYOBAMBA:  NIÑOS MENORES DE 12 MESES DE EDAD CON SUPLEMENTO DE HIERRO Y OTROS MICRONUTRIENTES  - POR MICROREDES :   ENERO - MAYO 2022</v>
      </c>
      <c r="W65" s="18"/>
      <c r="X65" s="18"/>
      <c r="Y65" s="18"/>
      <c r="Z65" s="158"/>
      <c r="AA65" s="18"/>
      <c r="AB65" s="18"/>
      <c r="AC65" s="18"/>
      <c r="AD65" s="18"/>
      <c r="AE65" s="18"/>
      <c r="AF65" s="18"/>
      <c r="AG65" s="149"/>
      <c r="AH65" s="48"/>
      <c r="AI65" s="48"/>
      <c r="AJ65" s="48"/>
      <c r="AL65" s="113" t="str">
        <f t="shared" si="37"/>
        <v>ESTABLECIMIENTOS</v>
      </c>
      <c r="AM65" s="114" t="s">
        <v>230</v>
      </c>
      <c r="AN65" s="115" t="s">
        <v>231</v>
      </c>
      <c r="AO65" s="116" t="str">
        <f t="shared" ref="AO65:AO71" si="38">D65</f>
        <v>12 M Sup Hierro (TA)</v>
      </c>
      <c r="AP65" s="116" t="str">
        <f t="shared" ref="AP65:AP71" si="39">G65</f>
        <v>%</v>
      </c>
      <c r="AQ65" s="117" t="s">
        <v>232</v>
      </c>
    </row>
    <row r="66" spans="1:43" s="159" customFormat="1" ht="18" customHeight="1" thickBot="1" x14ac:dyDescent="0.3">
      <c r="A66" s="118" t="str">
        <f>Config!$B$15</f>
        <v>RED</v>
      </c>
      <c r="B66" s="119">
        <f>SUM(B67:B75)</f>
        <v>815.72400000000005</v>
      </c>
      <c r="C66" s="119">
        <f>SUM(C67:C75)</f>
        <v>343</v>
      </c>
      <c r="D66" s="119">
        <f>SUM(D67:D75)</f>
        <v>705</v>
      </c>
      <c r="E66" s="119">
        <f>Config!$D$9</f>
        <v>100</v>
      </c>
      <c r="F66" s="120"/>
      <c r="G66" s="119">
        <f>IFERROR(ROUND(D66*100/C66,1),0)</f>
        <v>205.5</v>
      </c>
      <c r="H66" s="121" t="str">
        <f t="shared" ref="H66:H75" si="40">IF(G66&lt;=$H$3,G66,"")</f>
        <v/>
      </c>
      <c r="I66" s="121" t="str">
        <f t="shared" ref="I66:I75" si="41">IF(G66&gt;$H$3,IF(G66&lt;$I$3,G66,""),"")</f>
        <v/>
      </c>
      <c r="J66" s="119">
        <f t="shared" ref="J66:J75" si="42">IF(G66&gt;=$I$3,G66,"")</f>
        <v>205.5</v>
      </c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158"/>
      <c r="V66" s="95"/>
      <c r="W66" s="18"/>
      <c r="X66" s="18"/>
      <c r="Y66" s="18"/>
      <c r="Z66" s="158"/>
      <c r="AA66" s="18"/>
      <c r="AB66" s="18"/>
      <c r="AC66" s="18"/>
      <c r="AD66" s="18"/>
      <c r="AE66" s="18"/>
      <c r="AF66" s="18"/>
      <c r="AG66" s="149"/>
      <c r="AH66" s="48"/>
      <c r="AI66" s="48"/>
      <c r="AJ66" s="48"/>
      <c r="AL66" s="123" t="str">
        <f t="shared" si="37"/>
        <v>RED</v>
      </c>
      <c r="AM66" s="124">
        <f>SUM(AM67:AM74)</f>
        <v>63.495000000000012</v>
      </c>
      <c r="AN66" s="125">
        <f t="shared" ref="AN66:AN71" si="43">C66</f>
        <v>343</v>
      </c>
      <c r="AO66" s="124">
        <f t="shared" si="38"/>
        <v>705</v>
      </c>
      <c r="AP66" s="125">
        <f t="shared" si="39"/>
        <v>205.5</v>
      </c>
      <c r="AQ66" s="125">
        <f>AN66-AP66</f>
        <v>137.5</v>
      </c>
    </row>
    <row r="67" spans="1:43" s="159" customFormat="1" ht="18" hidden="1" customHeight="1" x14ac:dyDescent="0.25">
      <c r="A67" s="132" t="str">
        <f>Config!$B$16</f>
        <v>HOSP</v>
      </c>
      <c r="B67" s="127">
        <f>METAS!$AR$105</f>
        <v>0</v>
      </c>
      <c r="C67" s="127">
        <f>ROUNDUP((B67/12)*Config!$C$6,0)</f>
        <v>0</v>
      </c>
      <c r="D67" s="127">
        <f>ACUMULADO!$AT$18</f>
        <v>0</v>
      </c>
      <c r="E67" s="190">
        <f>E66</f>
        <v>100</v>
      </c>
      <c r="F67" s="138"/>
      <c r="G67" s="133">
        <f>IFERROR(ROUND(D67*100/C67,1),0)</f>
        <v>0</v>
      </c>
      <c r="H67" s="134">
        <f t="shared" si="40"/>
        <v>0</v>
      </c>
      <c r="I67" s="134" t="str">
        <f t="shared" si="41"/>
        <v/>
      </c>
      <c r="J67" s="135" t="str">
        <f t="shared" si="42"/>
        <v/>
      </c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158"/>
      <c r="V67" s="98"/>
      <c r="W67" s="18"/>
      <c r="X67" s="18"/>
      <c r="Y67" s="18"/>
      <c r="Z67" s="158"/>
      <c r="AA67" s="18"/>
      <c r="AB67" s="18"/>
      <c r="AC67" s="18"/>
      <c r="AD67" s="18"/>
      <c r="AE67" s="18"/>
      <c r="AF67" s="18"/>
      <c r="AG67" s="149"/>
      <c r="AH67" s="48"/>
      <c r="AI67" s="48"/>
      <c r="AJ67" s="48"/>
      <c r="AL67" s="49" t="str">
        <f t="shared" si="37"/>
        <v>HOSP</v>
      </c>
      <c r="AM67" s="50">
        <f>IF(Config!$C$6&gt;=12,"0",(B67/12))</f>
        <v>0</v>
      </c>
      <c r="AN67" s="51">
        <f t="shared" si="43"/>
        <v>0</v>
      </c>
      <c r="AO67" s="51">
        <f t="shared" si="38"/>
        <v>0</v>
      </c>
      <c r="AP67" s="183">
        <f t="shared" si="39"/>
        <v>0</v>
      </c>
      <c r="AQ67" s="52">
        <f t="shared" ref="AQ67:AQ71" si="44">AN67-AO67</f>
        <v>0</v>
      </c>
    </row>
    <row r="68" spans="1:43" s="159" customFormat="1" ht="18" customHeight="1" x14ac:dyDescent="0.25">
      <c r="A68" s="132" t="str">
        <f>Config!$B$17</f>
        <v>LLUI</v>
      </c>
      <c r="B68" s="127">
        <f>METAS!$AS$105</f>
        <v>337.64400000000006</v>
      </c>
      <c r="C68" s="99">
        <f>ROUNDUP((B68/12)*Config!$C$6,0)</f>
        <v>141</v>
      </c>
      <c r="D68" s="127">
        <f>ACUMULADO!$AU$18</f>
        <v>276</v>
      </c>
      <c r="E68" s="190">
        <f t="shared" ref="E68:E75" si="45">E67</f>
        <v>100</v>
      </c>
      <c r="F68" s="138"/>
      <c r="G68" s="133">
        <f>IFERROR(ROUND(D68*100/C68,1),0)</f>
        <v>195.7</v>
      </c>
      <c r="H68" s="134" t="str">
        <f t="shared" si="40"/>
        <v/>
      </c>
      <c r="I68" s="134" t="str">
        <f t="shared" si="41"/>
        <v/>
      </c>
      <c r="J68" s="135">
        <f t="shared" si="42"/>
        <v>195.7</v>
      </c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158"/>
      <c r="V68" s="98"/>
      <c r="W68" s="161"/>
      <c r="X68" s="161"/>
      <c r="Y68" s="18"/>
      <c r="Z68" s="158"/>
      <c r="AA68" s="18"/>
      <c r="AB68" s="18"/>
      <c r="AC68" s="18"/>
      <c r="AD68" s="18"/>
      <c r="AE68" s="18"/>
      <c r="AF68" s="18"/>
      <c r="AG68" s="149"/>
      <c r="AH68" s="48"/>
      <c r="AI68" s="48"/>
      <c r="AJ68" s="48"/>
      <c r="AL68" s="49" t="str">
        <f t="shared" si="37"/>
        <v>LLUI</v>
      </c>
      <c r="AM68" s="50">
        <f>IF(Config!$C$6&gt;=12,"0",(B68/12))</f>
        <v>28.137000000000004</v>
      </c>
      <c r="AN68" s="51">
        <f t="shared" si="43"/>
        <v>141</v>
      </c>
      <c r="AO68" s="51">
        <f t="shared" si="38"/>
        <v>276</v>
      </c>
      <c r="AP68" s="183">
        <f t="shared" si="39"/>
        <v>195.7</v>
      </c>
      <c r="AQ68" s="52">
        <f t="shared" si="44"/>
        <v>-135</v>
      </c>
    </row>
    <row r="69" spans="1:43" s="159" customFormat="1" ht="18" customHeight="1" x14ac:dyDescent="0.25">
      <c r="A69" s="132" t="str">
        <f>Config!$B$18</f>
        <v>JERI</v>
      </c>
      <c r="B69" s="127">
        <f>METAS!$AT$105</f>
        <v>30.876000000000001</v>
      </c>
      <c r="C69" s="99">
        <f>ROUNDUP((B69/12)*Config!$C$6,0)</f>
        <v>13</v>
      </c>
      <c r="D69" s="127">
        <f>ACUMULADO!$AV$18</f>
        <v>33</v>
      </c>
      <c r="E69" s="190">
        <f t="shared" si="45"/>
        <v>100</v>
      </c>
      <c r="F69" s="138"/>
      <c r="G69" s="133">
        <f t="shared" ref="G69" si="46">IFERROR(ROUND(D69*100/C69,1),0)</f>
        <v>253.8</v>
      </c>
      <c r="H69" s="134" t="str">
        <f t="shared" si="40"/>
        <v/>
      </c>
      <c r="I69" s="134" t="str">
        <f t="shared" si="41"/>
        <v/>
      </c>
      <c r="J69" s="135">
        <f t="shared" si="42"/>
        <v>253.8</v>
      </c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158"/>
      <c r="V69" s="48"/>
      <c r="W69" s="18"/>
      <c r="X69" s="18"/>
      <c r="Y69" s="18"/>
      <c r="Z69" s="158"/>
      <c r="AA69" s="18"/>
      <c r="AB69" s="18"/>
      <c r="AC69" s="18"/>
      <c r="AD69" s="18"/>
      <c r="AE69" s="18"/>
      <c r="AF69" s="18"/>
      <c r="AG69" s="149"/>
      <c r="AH69" s="48"/>
      <c r="AI69" s="48"/>
      <c r="AJ69" s="48"/>
      <c r="AL69" s="49" t="str">
        <f t="shared" si="37"/>
        <v>JERI</v>
      </c>
      <c r="AM69" s="50">
        <f>IF(Config!$C$6&gt;=12,"0",(B69/12))</f>
        <v>2.573</v>
      </c>
      <c r="AN69" s="51">
        <f t="shared" si="43"/>
        <v>13</v>
      </c>
      <c r="AO69" s="51">
        <f t="shared" si="38"/>
        <v>33</v>
      </c>
      <c r="AP69" s="183">
        <f t="shared" si="39"/>
        <v>253.8</v>
      </c>
      <c r="AQ69" s="52">
        <f t="shared" si="44"/>
        <v>-20</v>
      </c>
    </row>
    <row r="70" spans="1:43" s="159" customFormat="1" ht="18" customHeight="1" x14ac:dyDescent="0.25">
      <c r="A70" s="132" t="str">
        <f>Config!$B$19</f>
        <v>YANT</v>
      </c>
      <c r="B70" s="127">
        <f>METAS!$AU$105</f>
        <v>65.072000000000003</v>
      </c>
      <c r="C70" s="99">
        <f>ROUNDUP((B70/12)*Config!$C$6,0)</f>
        <v>28</v>
      </c>
      <c r="D70" s="127">
        <f>ACUMULADO!$AW$18</f>
        <v>104</v>
      </c>
      <c r="E70" s="190">
        <f t="shared" si="45"/>
        <v>100</v>
      </c>
      <c r="F70" s="138"/>
      <c r="G70" s="133">
        <f>IFERROR(ROUND(D70*100/C70,1),0)</f>
        <v>371.4</v>
      </c>
      <c r="H70" s="134" t="str">
        <f t="shared" si="40"/>
        <v/>
      </c>
      <c r="I70" s="134" t="str">
        <f t="shared" si="41"/>
        <v/>
      </c>
      <c r="J70" s="135">
        <f t="shared" si="42"/>
        <v>371.4</v>
      </c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158"/>
      <c r="V70" s="48"/>
      <c r="W70" s="18"/>
      <c r="X70" s="18"/>
      <c r="Y70" s="18"/>
      <c r="Z70" s="158"/>
      <c r="AA70" s="18"/>
      <c r="AB70" s="18"/>
      <c r="AC70" s="18"/>
      <c r="AD70" s="18"/>
      <c r="AE70" s="18"/>
      <c r="AF70" s="18"/>
      <c r="AG70" s="149"/>
      <c r="AH70" s="48"/>
      <c r="AI70" s="48"/>
      <c r="AJ70" s="48"/>
      <c r="AL70" s="49" t="str">
        <f t="shared" si="37"/>
        <v>YANT</v>
      </c>
      <c r="AM70" s="50">
        <f>IF(Config!$C$6&gt;=12,"0",(B70/12))</f>
        <v>5.4226666666666672</v>
      </c>
      <c r="AN70" s="51">
        <f t="shared" si="43"/>
        <v>28</v>
      </c>
      <c r="AO70" s="51">
        <f t="shared" si="38"/>
        <v>104</v>
      </c>
      <c r="AP70" s="183">
        <f t="shared" si="39"/>
        <v>371.4</v>
      </c>
      <c r="AQ70" s="52">
        <f t="shared" si="44"/>
        <v>-76</v>
      </c>
    </row>
    <row r="71" spans="1:43" s="159" customFormat="1" ht="18" customHeight="1" x14ac:dyDescent="0.25">
      <c r="A71" s="132" t="str">
        <f>Config!$B$20</f>
        <v>SORI</v>
      </c>
      <c r="B71" s="127">
        <f>METAS!$AV$105</f>
        <v>159.69200000000001</v>
      </c>
      <c r="C71" s="99">
        <f>ROUNDUP((B71/12)*Config!$C$6,0)</f>
        <v>67</v>
      </c>
      <c r="D71" s="127">
        <f>ACUMULADO!$AX$18</f>
        <v>92</v>
      </c>
      <c r="E71" s="190">
        <f t="shared" si="45"/>
        <v>100</v>
      </c>
      <c r="F71" s="138"/>
      <c r="G71" s="133">
        <f t="shared" ref="G71" si="47">IFERROR(ROUND(D71*100/C71,1),0)</f>
        <v>137.30000000000001</v>
      </c>
      <c r="H71" s="134" t="str">
        <f t="shared" si="40"/>
        <v/>
      </c>
      <c r="I71" s="134" t="str">
        <f t="shared" si="41"/>
        <v/>
      </c>
      <c r="J71" s="135">
        <f t="shared" si="42"/>
        <v>137.30000000000001</v>
      </c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158"/>
      <c r="V71" s="94"/>
      <c r="W71" s="18"/>
      <c r="X71" s="18"/>
      <c r="Y71" s="18"/>
      <c r="Z71" s="158"/>
      <c r="AA71" s="18"/>
      <c r="AB71" s="18"/>
      <c r="AC71" s="18"/>
      <c r="AD71" s="18"/>
      <c r="AE71" s="18"/>
      <c r="AF71" s="18"/>
      <c r="AG71" s="149"/>
      <c r="AH71" s="48"/>
      <c r="AI71" s="48"/>
      <c r="AJ71" s="48"/>
      <c r="AL71" s="49" t="str">
        <f t="shared" si="37"/>
        <v>SORI</v>
      </c>
      <c r="AM71" s="50">
        <f>IF(Config!$C$6&gt;=12,"0",(B71/12))</f>
        <v>13.307666666666668</v>
      </c>
      <c r="AN71" s="51">
        <f t="shared" si="43"/>
        <v>67</v>
      </c>
      <c r="AO71" s="51">
        <f t="shared" si="38"/>
        <v>92</v>
      </c>
      <c r="AP71" s="183">
        <f t="shared" si="39"/>
        <v>137.30000000000001</v>
      </c>
      <c r="AQ71" s="52">
        <f t="shared" si="44"/>
        <v>-25</v>
      </c>
    </row>
    <row r="72" spans="1:43" s="159" customFormat="1" ht="18" customHeight="1" x14ac:dyDescent="0.25">
      <c r="A72" s="132" t="str">
        <f>Config!$B$21</f>
        <v>JEPE</v>
      </c>
      <c r="B72" s="127">
        <f>METAS!$AW$105</f>
        <v>59.428000000000004</v>
      </c>
      <c r="C72" s="99">
        <f>ROUNDUP((B72/12)*Config!$C$6,0)</f>
        <v>25</v>
      </c>
      <c r="D72" s="127">
        <f>ACUMULADO!$AY$18</f>
        <v>81</v>
      </c>
      <c r="E72" s="190">
        <f t="shared" si="45"/>
        <v>100</v>
      </c>
      <c r="F72" s="138"/>
      <c r="G72" s="133">
        <f>IFERROR(ROUND(D72*100/C72,1),0)</f>
        <v>324</v>
      </c>
      <c r="H72" s="134" t="str">
        <f t="shared" si="40"/>
        <v/>
      </c>
      <c r="I72" s="134" t="str">
        <f t="shared" si="41"/>
        <v/>
      </c>
      <c r="J72" s="135">
        <f t="shared" si="42"/>
        <v>324</v>
      </c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158"/>
      <c r="V72" s="191"/>
      <c r="W72" s="149"/>
      <c r="X72" s="149"/>
      <c r="Y72" s="18"/>
      <c r="Z72" s="158"/>
      <c r="AA72" s="18"/>
      <c r="AB72" s="18"/>
      <c r="AC72" s="18"/>
      <c r="AD72" s="18"/>
      <c r="AE72" s="18"/>
      <c r="AF72" s="18"/>
      <c r="AG72" s="149"/>
      <c r="AH72" s="48"/>
      <c r="AI72" s="48"/>
      <c r="AJ72" s="48"/>
      <c r="AL72" s="49" t="str">
        <f>A72</f>
        <v>JEPE</v>
      </c>
      <c r="AM72" s="50">
        <f>IF(Config!$C$6&gt;=12,"0",(B72/12))</f>
        <v>4.9523333333333337</v>
      </c>
      <c r="AN72" s="51">
        <f>C72</f>
        <v>25</v>
      </c>
      <c r="AO72" s="51">
        <f>D72</f>
        <v>81</v>
      </c>
      <c r="AP72" s="183">
        <f>G72</f>
        <v>324</v>
      </c>
      <c r="AQ72" s="52">
        <f>AN72-AO72</f>
        <v>-56</v>
      </c>
    </row>
    <row r="73" spans="1:43" s="159" customFormat="1" ht="18" customHeight="1" x14ac:dyDescent="0.25">
      <c r="A73" s="132" t="str">
        <f>Config!$B$22</f>
        <v>ROQU</v>
      </c>
      <c r="B73" s="127">
        <f>METAS!$AX$105</f>
        <v>61.42</v>
      </c>
      <c r="C73" s="99">
        <f>ROUNDUP((B73/12)*Config!$C$6,0)</f>
        <v>26</v>
      </c>
      <c r="D73" s="127">
        <f>ACUMULADO!$AZ$18</f>
        <v>23</v>
      </c>
      <c r="E73" s="190">
        <f t="shared" si="45"/>
        <v>100</v>
      </c>
      <c r="F73" s="138"/>
      <c r="G73" s="133">
        <f>IFERROR(ROUND(D73*100/C73,1),0)</f>
        <v>88.5</v>
      </c>
      <c r="H73" s="134">
        <f t="shared" si="40"/>
        <v>88.5</v>
      </c>
      <c r="I73" s="134" t="str">
        <f t="shared" si="41"/>
        <v/>
      </c>
      <c r="J73" s="135" t="str">
        <f t="shared" si="42"/>
        <v/>
      </c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158"/>
      <c r="W73" s="18"/>
      <c r="X73" s="18"/>
      <c r="Y73" s="18"/>
      <c r="Z73" s="158"/>
      <c r="AA73" s="18"/>
      <c r="AB73" s="18"/>
      <c r="AC73" s="18"/>
      <c r="AD73" s="18"/>
      <c r="AE73" s="18"/>
      <c r="AF73" s="18"/>
      <c r="AG73" s="149"/>
      <c r="AH73" s="48"/>
      <c r="AI73" s="48"/>
      <c r="AJ73" s="48"/>
      <c r="AL73" s="49" t="str">
        <f>A73</f>
        <v>ROQU</v>
      </c>
      <c r="AM73" s="50">
        <f>IF(Config!$C$6&gt;=12,"0",(B73/12))</f>
        <v>5.1183333333333332</v>
      </c>
      <c r="AN73" s="51">
        <f>C73</f>
        <v>26</v>
      </c>
      <c r="AO73" s="51">
        <f>D73</f>
        <v>23</v>
      </c>
      <c r="AP73" s="183">
        <f>G73</f>
        <v>88.5</v>
      </c>
      <c r="AQ73" s="52">
        <f>AN73-AO73</f>
        <v>3</v>
      </c>
    </row>
    <row r="74" spans="1:43" s="159" customFormat="1" ht="18" customHeight="1" x14ac:dyDescent="0.25">
      <c r="A74" s="132" t="str">
        <f>Config!$B$23</f>
        <v>CALZ</v>
      </c>
      <c r="B74" s="127">
        <f>METAS!$AY$105</f>
        <v>47.808000000000007</v>
      </c>
      <c r="C74" s="99">
        <f>ROUNDUP((B74/12)*Config!$C$6,0)</f>
        <v>20</v>
      </c>
      <c r="D74" s="127">
        <f>ACUMULADO!$BA$18</f>
        <v>44</v>
      </c>
      <c r="E74" s="190">
        <f t="shared" si="45"/>
        <v>100</v>
      </c>
      <c r="F74" s="138"/>
      <c r="G74" s="133">
        <f t="shared" ref="G74:G75" si="48">IFERROR(ROUND(D74*100/C74,1),0)</f>
        <v>220</v>
      </c>
      <c r="H74" s="134" t="str">
        <f t="shared" si="40"/>
        <v/>
      </c>
      <c r="I74" s="134" t="str">
        <f t="shared" si="41"/>
        <v/>
      </c>
      <c r="J74" s="135">
        <f t="shared" si="42"/>
        <v>220</v>
      </c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158"/>
      <c r="V74" s="94"/>
      <c r="W74" s="18"/>
      <c r="X74" s="18"/>
      <c r="Y74" s="18"/>
      <c r="Z74" s="158"/>
      <c r="AA74" s="18"/>
      <c r="AB74" s="18"/>
      <c r="AC74" s="18"/>
      <c r="AD74" s="18"/>
      <c r="AE74" s="18"/>
      <c r="AF74" s="18"/>
      <c r="AG74" s="149"/>
      <c r="AH74" s="48"/>
      <c r="AI74" s="48"/>
      <c r="AJ74" s="48"/>
      <c r="AL74" s="49" t="str">
        <f t="shared" ref="AL74" si="49">A74</f>
        <v>CALZ</v>
      </c>
      <c r="AM74" s="50">
        <f>IF(Config!$C$6&gt;=12,"0",(B74/12))</f>
        <v>3.9840000000000004</v>
      </c>
      <c r="AN74" s="51">
        <f t="shared" ref="AN74:AO75" si="50">C74</f>
        <v>20</v>
      </c>
      <c r="AO74" s="51">
        <f t="shared" si="50"/>
        <v>44</v>
      </c>
      <c r="AP74" s="183">
        <f t="shared" ref="AP74" si="51">G74</f>
        <v>220</v>
      </c>
      <c r="AQ74" s="52">
        <f t="shared" ref="AQ74" si="52">AN74-AO74</f>
        <v>-24</v>
      </c>
    </row>
    <row r="75" spans="1:43" s="159" customFormat="1" ht="18" customHeight="1" x14ac:dyDescent="0.25">
      <c r="A75" s="132" t="str">
        <f>Config!$B$24</f>
        <v>PUEB</v>
      </c>
      <c r="B75" s="127">
        <f>METAS!$AZ$105</f>
        <v>53.783999999999999</v>
      </c>
      <c r="C75" s="99">
        <f>ROUNDUP((B75/12)*Config!$C$6,0)</f>
        <v>23</v>
      </c>
      <c r="D75" s="127">
        <f>ACUMULADO!$BB$18</f>
        <v>52</v>
      </c>
      <c r="E75" s="190">
        <f t="shared" si="45"/>
        <v>100</v>
      </c>
      <c r="F75" s="138"/>
      <c r="G75" s="133">
        <f t="shared" si="48"/>
        <v>226.1</v>
      </c>
      <c r="H75" s="134" t="str">
        <f t="shared" si="40"/>
        <v/>
      </c>
      <c r="I75" s="134" t="str">
        <f t="shared" si="41"/>
        <v/>
      </c>
      <c r="J75" s="135">
        <f t="shared" si="42"/>
        <v>226.1</v>
      </c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158"/>
      <c r="W75" s="18"/>
      <c r="X75" s="18"/>
      <c r="Y75" s="18"/>
      <c r="Z75" s="158"/>
      <c r="AA75" s="18"/>
      <c r="AB75" s="18"/>
      <c r="AC75" s="18"/>
      <c r="AD75" s="18"/>
      <c r="AE75" s="18"/>
      <c r="AF75" s="18"/>
      <c r="AG75" s="149"/>
      <c r="AH75" s="48"/>
      <c r="AI75" s="48"/>
      <c r="AJ75" s="48"/>
      <c r="AL75" s="49" t="str">
        <f>A75</f>
        <v>PUEB</v>
      </c>
      <c r="AM75" s="50">
        <f>IF(Config!$C$6&gt;=12,"0",(B75/12))</f>
        <v>4.4820000000000002</v>
      </c>
      <c r="AN75" s="51">
        <f>C75</f>
        <v>23</v>
      </c>
      <c r="AO75" s="51">
        <f t="shared" si="50"/>
        <v>52</v>
      </c>
      <c r="AP75" s="183">
        <f>G75</f>
        <v>226.1</v>
      </c>
      <c r="AQ75" s="52">
        <f>AN75-AO75</f>
        <v>-29</v>
      </c>
    </row>
    <row r="76" spans="1:43" s="159" customFormat="1" ht="18" customHeight="1" x14ac:dyDescent="0.25">
      <c r="A76" s="163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158"/>
      <c r="V76" s="94"/>
      <c r="W76" s="18"/>
      <c r="X76" s="18"/>
      <c r="Y76" s="18"/>
      <c r="Z76" s="158"/>
      <c r="AA76" s="18"/>
      <c r="AB76" s="18"/>
      <c r="AC76" s="18"/>
      <c r="AD76" s="18"/>
      <c r="AE76" s="18"/>
      <c r="AF76" s="18"/>
      <c r="AG76" s="149"/>
      <c r="AH76" s="48"/>
      <c r="AI76" s="48"/>
      <c r="AJ76" s="48"/>
      <c r="AO76" s="48"/>
      <c r="AP76" s="4"/>
    </row>
    <row r="77" spans="1:43" s="159" customFormat="1" ht="18" customHeight="1" x14ac:dyDescent="0.25">
      <c r="A77" s="163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158"/>
      <c r="V77" s="94"/>
      <c r="W77" s="18"/>
      <c r="X77" s="18"/>
      <c r="Y77" s="18"/>
      <c r="Z77" s="158"/>
      <c r="AA77" s="18"/>
      <c r="AB77" s="18"/>
      <c r="AC77" s="18"/>
      <c r="AD77" s="18"/>
      <c r="AE77" s="18"/>
      <c r="AF77" s="18"/>
      <c r="AG77" s="149"/>
      <c r="AH77" s="48"/>
      <c r="AI77" s="48"/>
      <c r="AJ77" s="48"/>
      <c r="AO77" s="48"/>
      <c r="AP77" s="4"/>
    </row>
    <row r="78" spans="1:43" s="159" customFormat="1" ht="18" customHeight="1" x14ac:dyDescent="0.25">
      <c r="A78" s="163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158"/>
      <c r="V78" s="94"/>
      <c r="W78" s="18"/>
      <c r="X78" s="18"/>
      <c r="Y78" s="18"/>
      <c r="Z78" s="158"/>
      <c r="AA78" s="18"/>
      <c r="AB78" s="18"/>
      <c r="AC78" s="18"/>
      <c r="AD78" s="18"/>
      <c r="AE78" s="18"/>
      <c r="AF78" s="18"/>
      <c r="AG78" s="149"/>
      <c r="AH78" s="48"/>
      <c r="AI78" s="48"/>
      <c r="AJ78" s="48"/>
      <c r="AO78" s="48"/>
      <c r="AP78" s="4"/>
    </row>
    <row r="79" spans="1:43" s="159" customFormat="1" ht="18" customHeight="1" x14ac:dyDescent="0.25">
      <c r="A79" s="163"/>
      <c r="H79" s="48"/>
      <c r="I79" s="48"/>
      <c r="J79" s="48"/>
      <c r="K79" s="105"/>
      <c r="L79" s="48"/>
      <c r="M79" s="48"/>
      <c r="N79" s="48"/>
      <c r="O79" s="48"/>
      <c r="P79" s="48"/>
      <c r="Q79" s="48"/>
      <c r="R79" s="48"/>
      <c r="S79" s="48"/>
      <c r="T79" s="48"/>
      <c r="U79" s="158"/>
      <c r="V79" s="94"/>
      <c r="W79" s="18"/>
      <c r="X79" s="18"/>
      <c r="Y79" s="18"/>
      <c r="Z79" s="158"/>
      <c r="AA79" s="18"/>
      <c r="AB79" s="18"/>
      <c r="AC79" s="18"/>
      <c r="AD79" s="18"/>
      <c r="AE79" s="18"/>
      <c r="AF79" s="18"/>
      <c r="AG79" s="149"/>
      <c r="AH79" s="48"/>
      <c r="AI79" s="48"/>
      <c r="AJ79" s="48"/>
      <c r="AO79" s="48"/>
      <c r="AP79" s="4"/>
    </row>
    <row r="80" spans="1:43" s="159" customFormat="1" ht="18" customHeight="1" x14ac:dyDescent="0.25">
      <c r="A80" s="163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158"/>
      <c r="V80" s="94"/>
      <c r="W80" s="18"/>
      <c r="X80" s="18"/>
      <c r="Y80" s="18"/>
      <c r="Z80" s="158"/>
      <c r="AA80" s="18"/>
      <c r="AB80" s="18"/>
      <c r="AC80" s="18"/>
      <c r="AD80" s="18"/>
      <c r="AE80" s="18"/>
      <c r="AF80" s="18"/>
      <c r="AG80" s="149"/>
      <c r="AH80" s="48"/>
      <c r="AI80" s="48"/>
      <c r="AJ80" s="48"/>
      <c r="AO80" s="48"/>
      <c r="AP80" s="4"/>
    </row>
    <row r="81" spans="1:43" s="159" customFormat="1" ht="18" customHeight="1" x14ac:dyDescent="0.25">
      <c r="A81" s="163"/>
      <c r="H81" s="48"/>
      <c r="I81" s="48"/>
      <c r="J81" s="48"/>
      <c r="K81" s="105"/>
      <c r="L81" s="48"/>
      <c r="M81" s="48"/>
      <c r="N81" s="48"/>
      <c r="O81" s="48"/>
      <c r="P81" s="48"/>
      <c r="Q81" s="48"/>
      <c r="R81" s="48"/>
      <c r="S81" s="48"/>
      <c r="T81" s="48"/>
      <c r="U81" s="158"/>
      <c r="V81" s="94"/>
      <c r="W81" s="18"/>
      <c r="X81" s="18"/>
      <c r="Y81" s="18"/>
      <c r="Z81" s="158"/>
      <c r="AA81" s="18"/>
      <c r="AB81" s="18"/>
      <c r="AC81" s="18"/>
      <c r="AD81" s="18"/>
      <c r="AE81" s="18"/>
      <c r="AF81" s="18"/>
      <c r="AG81" s="149"/>
      <c r="AH81" s="48"/>
      <c r="AI81" s="48"/>
      <c r="AJ81" s="48"/>
      <c r="AO81" s="48"/>
      <c r="AP81" s="4"/>
    </row>
    <row r="82" spans="1:43" s="159" customFormat="1" ht="18" customHeight="1" x14ac:dyDescent="0.25">
      <c r="A82" s="163"/>
      <c r="H82" s="48"/>
      <c r="I82" s="48"/>
      <c r="J82" s="48"/>
      <c r="K82" s="105"/>
      <c r="L82" s="48"/>
      <c r="M82" s="48"/>
      <c r="N82" s="48"/>
      <c r="O82" s="48"/>
      <c r="P82" s="48"/>
      <c r="Q82" s="48"/>
      <c r="R82" s="48"/>
      <c r="S82" s="48"/>
      <c r="T82" s="48"/>
      <c r="U82" s="158"/>
      <c r="V82" s="94"/>
      <c r="W82" s="18"/>
      <c r="X82" s="18"/>
      <c r="Y82" s="18"/>
      <c r="Z82" s="158"/>
      <c r="AA82" s="18"/>
      <c r="AB82" s="18"/>
      <c r="AC82" s="18"/>
      <c r="AD82" s="18"/>
      <c r="AE82" s="18"/>
      <c r="AF82" s="18"/>
      <c r="AG82" s="149"/>
      <c r="AH82" s="48"/>
      <c r="AI82" s="48"/>
      <c r="AJ82" s="48"/>
      <c r="AO82" s="48"/>
      <c r="AP82" s="4"/>
    </row>
    <row r="83" spans="1:43" s="159" customFormat="1" ht="18" customHeight="1" x14ac:dyDescent="0.25">
      <c r="A83" s="163"/>
      <c r="H83" s="48"/>
      <c r="I83" s="48"/>
      <c r="J83" s="48"/>
      <c r="K83" s="105"/>
      <c r="L83" s="48"/>
      <c r="M83" s="48"/>
      <c r="N83" s="48"/>
      <c r="O83" s="48"/>
      <c r="P83" s="48"/>
      <c r="Q83" s="48"/>
      <c r="R83" s="48"/>
      <c r="S83" s="48"/>
      <c r="T83" s="48"/>
      <c r="U83" s="158"/>
      <c r="V83" s="94"/>
      <c r="W83" s="18"/>
      <c r="X83" s="18"/>
      <c r="Y83" s="18"/>
      <c r="Z83" s="158"/>
      <c r="AA83" s="18"/>
      <c r="AB83" s="18"/>
      <c r="AC83" s="18"/>
      <c r="AD83" s="18"/>
      <c r="AE83" s="18"/>
      <c r="AF83" s="18"/>
      <c r="AG83" s="149"/>
      <c r="AH83" s="48"/>
      <c r="AI83" s="48"/>
      <c r="AJ83" s="48"/>
      <c r="AO83" s="48"/>
      <c r="AP83" s="4"/>
    </row>
    <row r="84" spans="1:43" s="159" customFormat="1" ht="18" customHeight="1" x14ac:dyDescent="0.25">
      <c r="A84" s="163"/>
      <c r="B84" s="48"/>
      <c r="C84" s="101"/>
      <c r="D84" s="102"/>
      <c r="E84" s="102"/>
      <c r="F84" s="103"/>
      <c r="G84" s="103"/>
      <c r="H84" s="103"/>
      <c r="I84" s="186"/>
      <c r="J84" s="187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158"/>
      <c r="W84" s="18"/>
      <c r="X84" s="18"/>
      <c r="Y84" s="18"/>
      <c r="Z84" s="158"/>
      <c r="AA84" s="18"/>
      <c r="AB84" s="18"/>
      <c r="AC84" s="18"/>
      <c r="AD84" s="18"/>
      <c r="AE84" s="18"/>
      <c r="AF84" s="18"/>
      <c r="AG84" s="149"/>
      <c r="AH84" s="48"/>
      <c r="AI84" s="48"/>
      <c r="AJ84" s="48"/>
      <c r="AO84" s="48"/>
      <c r="AP84" s="4"/>
    </row>
    <row r="85" spans="1:43" s="159" customFormat="1" ht="18" customHeight="1" x14ac:dyDescent="0.25">
      <c r="A85" s="5" t="str">
        <f>METAS!$B$106</f>
        <v>NIÑOS  DE 24 MESES DE EDAD CON SUPLEMENTO DE HIERRO Y OTROS MICRONUTRIENTES</v>
      </c>
      <c r="B85" s="48"/>
      <c r="C85" s="101"/>
      <c r="D85" s="102"/>
      <c r="E85" s="102"/>
      <c r="F85" s="103"/>
      <c r="G85" s="103"/>
      <c r="H85" s="103"/>
      <c r="I85" s="189"/>
      <c r="J85" s="187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158"/>
      <c r="V85" s="98" t="str">
        <f>A85</f>
        <v>NIÑOS  DE 24 MESES DE EDAD CON SUPLEMENTO DE HIERRO Y OTROS MICRONUTRIENTES</v>
      </c>
      <c r="W85" s="18"/>
      <c r="X85" s="18"/>
      <c r="Y85" s="18"/>
      <c r="Z85" s="158"/>
      <c r="AA85" s="18"/>
      <c r="AB85" s="18"/>
      <c r="AC85" s="18"/>
      <c r="AD85" s="18"/>
      <c r="AE85" s="18"/>
      <c r="AF85" s="18"/>
      <c r="AG85" s="149"/>
      <c r="AH85" s="48"/>
      <c r="AI85" s="48"/>
      <c r="AJ85" s="48"/>
      <c r="AL85" s="48" t="str">
        <f t="shared" ref="AL85:AL95" si="53">A85</f>
        <v>NIÑOS  DE 24 MESES DE EDAD CON SUPLEMENTO DE HIERRO Y OTROS MICRONUTRIENTES</v>
      </c>
      <c r="AM85" s="48"/>
      <c r="AN85" s="48"/>
      <c r="AO85" s="48"/>
      <c r="AP85" s="4"/>
      <c r="AQ85" s="48"/>
    </row>
    <row r="86" spans="1:43" s="159" customFormat="1" ht="48" customHeight="1" thickBot="1" x14ac:dyDescent="0.3">
      <c r="A86" s="107" t="s">
        <v>2</v>
      </c>
      <c r="B86" s="108" t="s">
        <v>275</v>
      </c>
      <c r="C86" s="109" t="s">
        <v>192</v>
      </c>
      <c r="D86" s="108" t="s">
        <v>285</v>
      </c>
      <c r="E86" s="108" t="s">
        <v>1</v>
      </c>
      <c r="F86" s="110"/>
      <c r="G86" s="111" t="s">
        <v>121</v>
      </c>
      <c r="H86" s="112" t="str">
        <f>"DEFICIENTE &lt; = "&amp;$H$3</f>
        <v>DEFICIENTE &lt; = 90</v>
      </c>
      <c r="I86" s="112" t="str">
        <f>"PROCESO &gt; "&amp;$H$3&amp;"  -  &lt; "&amp;$I$3</f>
        <v>PROCESO &gt; 90  -  &lt; 100</v>
      </c>
      <c r="J86" s="112" t="str">
        <f>"OPTIMO &gt; = "&amp;$I$3</f>
        <v>OPTIMO &gt; = 100</v>
      </c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158"/>
      <c r="V86" s="137" t="str">
        <f>$V$1&amp;"  "&amp;V85&amp;"  "&amp;$V$3&amp;"  "&amp;$V$2</f>
        <v>RED. MOYOBAMBA:  NIÑOS  DE 24 MESES DE EDAD CON SUPLEMENTO DE HIERRO Y OTROS MICRONUTRIENTES  - POR MICROREDES :   ENERO - MAYO 2022</v>
      </c>
      <c r="W86" s="18"/>
      <c r="X86" s="18"/>
      <c r="Y86" s="18"/>
      <c r="Z86" s="158"/>
      <c r="AA86" s="18"/>
      <c r="AB86" s="18"/>
      <c r="AC86" s="18"/>
      <c r="AD86" s="18"/>
      <c r="AE86" s="18"/>
      <c r="AF86" s="18"/>
      <c r="AG86" s="149"/>
      <c r="AH86" s="48"/>
      <c r="AI86" s="48"/>
      <c r="AJ86" s="48"/>
      <c r="AL86" s="113" t="str">
        <f t="shared" si="53"/>
        <v>ESTABLECIMIENTOS</v>
      </c>
      <c r="AM86" s="114" t="s">
        <v>230</v>
      </c>
      <c r="AN86" s="115" t="s">
        <v>231</v>
      </c>
      <c r="AO86" s="116" t="str">
        <f t="shared" ref="AO86:AO96" si="54">D86</f>
        <v>24 - 35 M Sup Hierro</v>
      </c>
      <c r="AP86" s="116" t="str">
        <f t="shared" ref="AP86:AP95" si="55">G86</f>
        <v>%</v>
      </c>
      <c r="AQ86" s="117" t="s">
        <v>232</v>
      </c>
    </row>
    <row r="87" spans="1:43" s="159" customFormat="1" ht="18" customHeight="1" thickBot="1" x14ac:dyDescent="0.3">
      <c r="A87" s="118" t="str">
        <f>Config!$B$15</f>
        <v>RED</v>
      </c>
      <c r="B87" s="119">
        <f>SUM(B88:B96)</f>
        <v>1793.3730000000005</v>
      </c>
      <c r="C87" s="119">
        <f>SUM(C88:C96)</f>
        <v>751</v>
      </c>
      <c r="D87" s="119">
        <f>SUM(D88:D96)</f>
        <v>54</v>
      </c>
      <c r="E87" s="119">
        <f>Config!$D$9</f>
        <v>100</v>
      </c>
      <c r="F87" s="120"/>
      <c r="G87" s="119">
        <f>IFERROR(ROUND(D87*100/C87,1),0)</f>
        <v>7.2</v>
      </c>
      <c r="H87" s="121">
        <f t="shared" ref="H87:H96" si="56">IF(G87&lt;=$H$3,G87,"")</f>
        <v>7.2</v>
      </c>
      <c r="I87" s="121" t="str">
        <f t="shared" ref="I87:I96" si="57">IF(G87&gt;$H$3,IF(G87&lt;$I$3,G87,""),"")</f>
        <v/>
      </c>
      <c r="J87" s="119" t="str">
        <f t="shared" ref="J87:J96" si="58">IF(G87&gt;=$I$3,G87,"")</f>
        <v/>
      </c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158"/>
      <c r="V87" s="95"/>
      <c r="W87" s="18"/>
      <c r="X87" s="18"/>
      <c r="Y87" s="18"/>
      <c r="Z87" s="158"/>
      <c r="AA87" s="18"/>
      <c r="AB87" s="18"/>
      <c r="AC87" s="18"/>
      <c r="AD87" s="18"/>
      <c r="AE87" s="18"/>
      <c r="AF87" s="18"/>
      <c r="AG87" s="149"/>
      <c r="AH87" s="48"/>
      <c r="AI87" s="48"/>
      <c r="AJ87" s="48"/>
      <c r="AL87" s="123" t="str">
        <f t="shared" si="53"/>
        <v>RED</v>
      </c>
      <c r="AM87" s="124">
        <f>SUM(AM88:AM95)</f>
        <v>139.68766666666667</v>
      </c>
      <c r="AN87" s="125">
        <f t="shared" ref="AN87:AN95" si="59">C87</f>
        <v>751</v>
      </c>
      <c r="AO87" s="124">
        <f t="shared" si="54"/>
        <v>54</v>
      </c>
      <c r="AP87" s="125">
        <f t="shared" si="55"/>
        <v>7.2</v>
      </c>
      <c r="AQ87" s="125">
        <f>AN87-AP87</f>
        <v>743.8</v>
      </c>
    </row>
    <row r="88" spans="1:43" s="159" customFormat="1" ht="18" hidden="1" customHeight="1" x14ac:dyDescent="0.25">
      <c r="A88" s="132" t="str">
        <f>Config!$B$16</f>
        <v>HOSP</v>
      </c>
      <c r="B88" s="127">
        <f>METAS!$AR$106</f>
        <v>0</v>
      </c>
      <c r="C88" s="127">
        <f>ROUNDUP((B88/12)*Config!$C$6,0)</f>
        <v>0</v>
      </c>
      <c r="D88" s="127">
        <f>ACUMULADO!$AT$19</f>
        <v>0</v>
      </c>
      <c r="E88" s="190">
        <f>E87</f>
        <v>100</v>
      </c>
      <c r="F88" s="138"/>
      <c r="G88" s="133">
        <f>IFERROR(ROUND(D88*100/C88,1),0)</f>
        <v>0</v>
      </c>
      <c r="H88" s="134">
        <f t="shared" si="56"/>
        <v>0</v>
      </c>
      <c r="I88" s="134" t="str">
        <f t="shared" si="57"/>
        <v/>
      </c>
      <c r="J88" s="135" t="str">
        <f t="shared" si="58"/>
        <v/>
      </c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158"/>
      <c r="V88" s="98"/>
      <c r="W88" s="18"/>
      <c r="X88" s="18"/>
      <c r="Y88" s="18"/>
      <c r="Z88" s="158"/>
      <c r="AA88" s="18"/>
      <c r="AB88" s="18"/>
      <c r="AC88" s="18"/>
      <c r="AD88" s="18"/>
      <c r="AE88" s="18"/>
      <c r="AF88" s="18"/>
      <c r="AG88" s="149"/>
      <c r="AH88" s="48"/>
      <c r="AI88" s="48"/>
      <c r="AJ88" s="48"/>
      <c r="AL88" s="49" t="str">
        <f t="shared" si="53"/>
        <v>HOSP</v>
      </c>
      <c r="AM88" s="50">
        <f>IF(Config!$C$6&gt;=12,"0",(B88/12))</f>
        <v>0</v>
      </c>
      <c r="AN88" s="51">
        <f t="shared" si="59"/>
        <v>0</v>
      </c>
      <c r="AO88" s="51">
        <f t="shared" si="54"/>
        <v>0</v>
      </c>
      <c r="AP88" s="183">
        <f t="shared" si="55"/>
        <v>0</v>
      </c>
      <c r="AQ88" s="52">
        <f t="shared" ref="AQ88:AQ95" si="60">AN88-AO88</f>
        <v>0</v>
      </c>
    </row>
    <row r="89" spans="1:43" s="159" customFormat="1" ht="18" customHeight="1" x14ac:dyDescent="0.25">
      <c r="A89" s="132" t="str">
        <f>Config!$B$17</f>
        <v>LLUI</v>
      </c>
      <c r="B89" s="127">
        <f>METAS!$AS$106</f>
        <v>741.99200000000019</v>
      </c>
      <c r="C89" s="99">
        <f>ROUNDUP((B89/12)*Config!$C$6,0)</f>
        <v>310</v>
      </c>
      <c r="D89" s="127">
        <f>ACUMULADO!$AU$19</f>
        <v>9</v>
      </c>
      <c r="E89" s="190">
        <f t="shared" ref="E89:E96" si="61">E88</f>
        <v>100</v>
      </c>
      <c r="F89" s="138"/>
      <c r="G89" s="133">
        <f>IFERROR(ROUND(D89*100/C89,1),0)</f>
        <v>2.9</v>
      </c>
      <c r="H89" s="134">
        <f t="shared" si="56"/>
        <v>2.9</v>
      </c>
      <c r="I89" s="134" t="str">
        <f t="shared" si="57"/>
        <v/>
      </c>
      <c r="J89" s="135" t="str">
        <f t="shared" si="58"/>
        <v/>
      </c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158"/>
      <c r="V89" s="98"/>
      <c r="W89" s="161"/>
      <c r="X89" s="161"/>
      <c r="Y89" s="18"/>
      <c r="Z89" s="158"/>
      <c r="AA89" s="18"/>
      <c r="AB89" s="18"/>
      <c r="AC89" s="18"/>
      <c r="AD89" s="18"/>
      <c r="AE89" s="18"/>
      <c r="AF89" s="18"/>
      <c r="AG89" s="149"/>
      <c r="AH89" s="48"/>
      <c r="AI89" s="48"/>
      <c r="AJ89" s="48"/>
      <c r="AL89" s="49" t="str">
        <f t="shared" si="53"/>
        <v>LLUI</v>
      </c>
      <c r="AM89" s="50">
        <f>IF(Config!$C$6&gt;=12,"0",(B89/12))</f>
        <v>61.832666666666682</v>
      </c>
      <c r="AN89" s="51">
        <f t="shared" si="59"/>
        <v>310</v>
      </c>
      <c r="AO89" s="51">
        <f t="shared" si="54"/>
        <v>9</v>
      </c>
      <c r="AP89" s="183">
        <f t="shared" si="55"/>
        <v>2.9</v>
      </c>
      <c r="AQ89" s="52">
        <f t="shared" si="60"/>
        <v>301</v>
      </c>
    </row>
    <row r="90" spans="1:43" s="159" customFormat="1" ht="18" customHeight="1" x14ac:dyDescent="0.25">
      <c r="A90" s="132" t="str">
        <f>Config!$B$18</f>
        <v>JERI</v>
      </c>
      <c r="B90" s="127">
        <f>METAS!$AT$106</f>
        <v>75.824000000000012</v>
      </c>
      <c r="C90" s="99">
        <f>ROUNDUP((B90/12)*Config!$C$6,0)</f>
        <v>32</v>
      </c>
      <c r="D90" s="127">
        <f>ACUMULADO!$AV$19</f>
        <v>2</v>
      </c>
      <c r="E90" s="190">
        <f t="shared" si="61"/>
        <v>100</v>
      </c>
      <c r="F90" s="138"/>
      <c r="G90" s="133">
        <f t="shared" ref="G90" si="62">IFERROR(ROUND(D90*100/C90,1),0)</f>
        <v>6.3</v>
      </c>
      <c r="H90" s="134">
        <f t="shared" si="56"/>
        <v>6.3</v>
      </c>
      <c r="I90" s="134" t="str">
        <f t="shared" si="57"/>
        <v/>
      </c>
      <c r="J90" s="135" t="str">
        <f t="shared" si="58"/>
        <v/>
      </c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158"/>
      <c r="V90" s="48"/>
      <c r="W90" s="18"/>
      <c r="X90" s="18"/>
      <c r="Y90" s="18"/>
      <c r="Z90" s="158"/>
      <c r="AA90" s="18"/>
      <c r="AB90" s="18"/>
      <c r="AC90" s="18"/>
      <c r="AD90" s="18"/>
      <c r="AE90" s="18"/>
      <c r="AF90" s="18"/>
      <c r="AG90" s="149"/>
      <c r="AH90" s="48"/>
      <c r="AI90" s="48"/>
      <c r="AJ90" s="48"/>
      <c r="AL90" s="49" t="str">
        <f t="shared" si="53"/>
        <v>JERI</v>
      </c>
      <c r="AM90" s="50">
        <f>IF(Config!$C$6&gt;=12,"0",(B90/12))</f>
        <v>6.318666666666668</v>
      </c>
      <c r="AN90" s="51">
        <f t="shared" si="59"/>
        <v>32</v>
      </c>
      <c r="AO90" s="51">
        <f t="shared" si="54"/>
        <v>2</v>
      </c>
      <c r="AP90" s="183">
        <f t="shared" si="55"/>
        <v>6.3</v>
      </c>
      <c r="AQ90" s="52">
        <f t="shared" si="60"/>
        <v>30</v>
      </c>
    </row>
    <row r="91" spans="1:43" s="159" customFormat="1" ht="18" customHeight="1" x14ac:dyDescent="0.25">
      <c r="A91" s="132" t="str">
        <f>Config!$B$19</f>
        <v>YANT</v>
      </c>
      <c r="B91" s="127">
        <f>METAS!$AU$106</f>
        <v>129.30700000000002</v>
      </c>
      <c r="C91" s="99">
        <f>ROUNDUP((B91/12)*Config!$C$6,0)</f>
        <v>54</v>
      </c>
      <c r="D91" s="127">
        <f>ACUMULADO!$AW$19</f>
        <v>21</v>
      </c>
      <c r="E91" s="190">
        <f t="shared" si="61"/>
        <v>100</v>
      </c>
      <c r="F91" s="138"/>
      <c r="G91" s="133">
        <f>IFERROR(ROUND(D91*100/C91,1),0)</f>
        <v>38.9</v>
      </c>
      <c r="H91" s="134">
        <f t="shared" si="56"/>
        <v>38.9</v>
      </c>
      <c r="I91" s="134" t="str">
        <f t="shared" si="57"/>
        <v/>
      </c>
      <c r="J91" s="135" t="str">
        <f t="shared" si="58"/>
        <v/>
      </c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158"/>
      <c r="V91" s="48"/>
      <c r="W91" s="18"/>
      <c r="X91" s="18"/>
      <c r="Y91" s="18"/>
      <c r="Z91" s="158"/>
      <c r="AA91" s="18"/>
      <c r="AB91" s="18"/>
      <c r="AC91" s="18"/>
      <c r="AD91" s="18"/>
      <c r="AE91" s="18"/>
      <c r="AF91" s="18"/>
      <c r="AG91" s="149"/>
      <c r="AH91" s="48"/>
      <c r="AI91" s="48"/>
      <c r="AJ91" s="48"/>
      <c r="AL91" s="49" t="str">
        <f t="shared" si="53"/>
        <v>YANT</v>
      </c>
      <c r="AM91" s="50">
        <f>IF(Config!$C$6&gt;=12,"0",(B91/12))</f>
        <v>10.775583333333335</v>
      </c>
      <c r="AN91" s="51">
        <f t="shared" si="59"/>
        <v>54</v>
      </c>
      <c r="AO91" s="51">
        <f t="shared" si="54"/>
        <v>21</v>
      </c>
      <c r="AP91" s="183">
        <f t="shared" si="55"/>
        <v>38.9</v>
      </c>
      <c r="AQ91" s="52">
        <f t="shared" si="60"/>
        <v>33</v>
      </c>
    </row>
    <row r="92" spans="1:43" s="159" customFormat="1" ht="18" customHeight="1" x14ac:dyDescent="0.25">
      <c r="A92" s="132" t="str">
        <f>Config!$B$20</f>
        <v>SORI</v>
      </c>
      <c r="B92" s="127">
        <f>METAS!$AV$106</f>
        <v>341.88500000000005</v>
      </c>
      <c r="C92" s="99">
        <f>ROUNDUP((B92/12)*Config!$C$6,0)</f>
        <v>143</v>
      </c>
      <c r="D92" s="127">
        <f>ACUMULADO!$AX$19</f>
        <v>4</v>
      </c>
      <c r="E92" s="190">
        <f t="shared" si="61"/>
        <v>100</v>
      </c>
      <c r="F92" s="138"/>
      <c r="G92" s="133">
        <f t="shared" ref="G92" si="63">IFERROR(ROUND(D92*100/C92,1),0)</f>
        <v>2.8</v>
      </c>
      <c r="H92" s="134">
        <f t="shared" si="56"/>
        <v>2.8</v>
      </c>
      <c r="I92" s="134" t="str">
        <f t="shared" si="57"/>
        <v/>
      </c>
      <c r="J92" s="135" t="str">
        <f t="shared" si="58"/>
        <v/>
      </c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158"/>
      <c r="V92" s="94"/>
      <c r="W92" s="18"/>
      <c r="X92" s="18"/>
      <c r="Y92" s="18"/>
      <c r="Z92" s="158"/>
      <c r="AA92" s="18"/>
      <c r="AB92" s="18"/>
      <c r="AC92" s="18"/>
      <c r="AD92" s="18"/>
      <c r="AE92" s="18"/>
      <c r="AF92" s="18"/>
      <c r="AG92" s="149"/>
      <c r="AH92" s="48"/>
      <c r="AI92" s="48"/>
      <c r="AJ92" s="48"/>
      <c r="AL92" s="49" t="str">
        <f t="shared" si="53"/>
        <v>SORI</v>
      </c>
      <c r="AM92" s="50">
        <f>IF(Config!$C$6&gt;=12,"0",(B92/12))</f>
        <v>28.490416666666672</v>
      </c>
      <c r="AN92" s="51">
        <f t="shared" si="59"/>
        <v>143</v>
      </c>
      <c r="AO92" s="51">
        <f t="shared" si="54"/>
        <v>4</v>
      </c>
      <c r="AP92" s="183">
        <f t="shared" si="55"/>
        <v>2.8</v>
      </c>
      <c r="AQ92" s="52">
        <f t="shared" si="60"/>
        <v>139</v>
      </c>
    </row>
    <row r="93" spans="1:43" s="159" customFormat="1" ht="18" customHeight="1" x14ac:dyDescent="0.25">
      <c r="A93" s="132" t="str">
        <f>Config!$B$21</f>
        <v>JEPE</v>
      </c>
      <c r="B93" s="127">
        <f>METAS!$AW$106</f>
        <v>147.58600000000001</v>
      </c>
      <c r="C93" s="99">
        <f>ROUNDUP((B93/12)*Config!$C$6,0)</f>
        <v>62</v>
      </c>
      <c r="D93" s="127">
        <f>ACUMULADO!$AY$19</f>
        <v>10</v>
      </c>
      <c r="E93" s="190">
        <f t="shared" si="61"/>
        <v>100</v>
      </c>
      <c r="F93" s="138"/>
      <c r="G93" s="133">
        <f>IFERROR(ROUND(D93*100/C93,1),0)</f>
        <v>16.100000000000001</v>
      </c>
      <c r="H93" s="134">
        <f t="shared" si="56"/>
        <v>16.100000000000001</v>
      </c>
      <c r="I93" s="134" t="str">
        <f t="shared" si="57"/>
        <v/>
      </c>
      <c r="J93" s="135" t="str">
        <f t="shared" si="58"/>
        <v/>
      </c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158"/>
      <c r="V93" s="94"/>
      <c r="W93" s="149"/>
      <c r="X93" s="149"/>
      <c r="Y93" s="18"/>
      <c r="Z93" s="158"/>
      <c r="AA93" s="18"/>
      <c r="AB93" s="18"/>
      <c r="AC93" s="18"/>
      <c r="AD93" s="18"/>
      <c r="AE93" s="18"/>
      <c r="AF93" s="18"/>
      <c r="AG93" s="149"/>
      <c r="AH93" s="48"/>
      <c r="AI93" s="48"/>
      <c r="AJ93" s="48"/>
      <c r="AL93" s="49" t="str">
        <f>A93</f>
        <v>JEPE</v>
      </c>
      <c r="AM93" s="50">
        <f>IF(Config!$C$6&gt;=12,"0",(B93/12))</f>
        <v>12.298833333333334</v>
      </c>
      <c r="AN93" s="51">
        <f>C93</f>
        <v>62</v>
      </c>
      <c r="AO93" s="51">
        <f>D93</f>
        <v>10</v>
      </c>
      <c r="AP93" s="183">
        <f>G93</f>
        <v>16.100000000000001</v>
      </c>
      <c r="AQ93" s="52">
        <f>AN93-AO93</f>
        <v>52</v>
      </c>
    </row>
    <row r="94" spans="1:43" s="159" customFormat="1" ht="18" customHeight="1" x14ac:dyDescent="0.25">
      <c r="A94" s="132" t="str">
        <f>Config!$B$22</f>
        <v>ROQU</v>
      </c>
      <c r="B94" s="127">
        <f>METAS!$AX$106</f>
        <v>132.01499999999999</v>
      </c>
      <c r="C94" s="99">
        <f>ROUNDUP((B94/12)*Config!$C$6,0)</f>
        <v>56</v>
      </c>
      <c r="D94" s="127">
        <f>ACUMULADO!$AZ$19</f>
        <v>2</v>
      </c>
      <c r="E94" s="190">
        <f t="shared" si="61"/>
        <v>100</v>
      </c>
      <c r="F94" s="138"/>
      <c r="G94" s="133">
        <f>IFERROR(ROUND(D94*100/C94,1),0)</f>
        <v>3.6</v>
      </c>
      <c r="H94" s="134">
        <f t="shared" si="56"/>
        <v>3.6</v>
      </c>
      <c r="I94" s="134" t="str">
        <f t="shared" si="57"/>
        <v/>
      </c>
      <c r="J94" s="135" t="str">
        <f t="shared" si="58"/>
        <v/>
      </c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158"/>
      <c r="W94" s="18"/>
      <c r="X94" s="18"/>
      <c r="Y94" s="18"/>
      <c r="Z94" s="158"/>
      <c r="AA94" s="18"/>
      <c r="AB94" s="18"/>
      <c r="AC94" s="18"/>
      <c r="AD94" s="18"/>
      <c r="AE94" s="18"/>
      <c r="AF94" s="18"/>
      <c r="AG94" s="149"/>
      <c r="AH94" s="48"/>
      <c r="AI94" s="48"/>
      <c r="AJ94" s="48"/>
      <c r="AL94" s="49" t="str">
        <f>A94</f>
        <v>ROQU</v>
      </c>
      <c r="AM94" s="50">
        <f>IF(Config!$C$6&gt;=12,"0",(B94/12))</f>
        <v>11.001249999999999</v>
      </c>
      <c r="AN94" s="51">
        <f>C94</f>
        <v>56</v>
      </c>
      <c r="AO94" s="51">
        <f>D94</f>
        <v>2</v>
      </c>
      <c r="AP94" s="183">
        <f>G94</f>
        <v>3.6</v>
      </c>
      <c r="AQ94" s="52">
        <f>AN94-AO94</f>
        <v>54</v>
      </c>
    </row>
    <row r="95" spans="1:43" s="159" customFormat="1" ht="18" customHeight="1" x14ac:dyDescent="0.25">
      <c r="A95" s="132" t="str">
        <f>Config!$B$23</f>
        <v>CALZ</v>
      </c>
      <c r="B95" s="127">
        <f>METAS!$AY$106</f>
        <v>107.643</v>
      </c>
      <c r="C95" s="99">
        <f>ROUNDUP((B95/12)*Config!$C$6,0)</f>
        <v>45</v>
      </c>
      <c r="D95" s="127">
        <f>ACUMULADO!$BA$19</f>
        <v>3</v>
      </c>
      <c r="E95" s="190">
        <f t="shared" si="61"/>
        <v>100</v>
      </c>
      <c r="F95" s="138"/>
      <c r="G95" s="133">
        <f t="shared" ref="G95:G96" si="64">IFERROR(ROUND(D95*100/C95,1),0)</f>
        <v>6.7</v>
      </c>
      <c r="H95" s="134">
        <f t="shared" si="56"/>
        <v>6.7</v>
      </c>
      <c r="I95" s="134" t="str">
        <f t="shared" si="57"/>
        <v/>
      </c>
      <c r="J95" s="135" t="str">
        <f t="shared" si="58"/>
        <v/>
      </c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158"/>
      <c r="V95" s="94"/>
      <c r="W95" s="18"/>
      <c r="X95" s="18"/>
      <c r="Y95" s="18"/>
      <c r="Z95" s="158"/>
      <c r="AA95" s="18"/>
      <c r="AB95" s="18"/>
      <c r="AC95" s="18"/>
      <c r="AD95" s="18"/>
      <c r="AE95" s="18"/>
      <c r="AF95" s="18"/>
      <c r="AG95" s="149"/>
      <c r="AH95" s="48"/>
      <c r="AI95" s="48"/>
      <c r="AJ95" s="48"/>
      <c r="AL95" s="49" t="str">
        <f t="shared" si="53"/>
        <v>CALZ</v>
      </c>
      <c r="AM95" s="50">
        <f>IF(Config!$C$6&gt;=12,"0",(B95/12))</f>
        <v>8.9702500000000001</v>
      </c>
      <c r="AN95" s="51">
        <f t="shared" si="59"/>
        <v>45</v>
      </c>
      <c r="AO95" s="51">
        <f t="shared" si="54"/>
        <v>3</v>
      </c>
      <c r="AP95" s="183">
        <f t="shared" si="55"/>
        <v>6.7</v>
      </c>
      <c r="AQ95" s="52">
        <f t="shared" si="60"/>
        <v>42</v>
      </c>
    </row>
    <row r="96" spans="1:43" s="159" customFormat="1" ht="18" customHeight="1" x14ac:dyDescent="0.25">
      <c r="A96" s="132" t="str">
        <f>Config!$B$24</f>
        <v>PUEB</v>
      </c>
      <c r="B96" s="127">
        <f>METAS!$AZ$106</f>
        <v>117.12100000000002</v>
      </c>
      <c r="C96" s="99">
        <f>ROUNDUP((B96/12)*Config!$C$6,0)</f>
        <v>49</v>
      </c>
      <c r="D96" s="127">
        <f>ACUMULADO!$BB$19</f>
        <v>3</v>
      </c>
      <c r="E96" s="190">
        <f t="shared" si="61"/>
        <v>100</v>
      </c>
      <c r="F96" s="138"/>
      <c r="G96" s="133">
        <f t="shared" si="64"/>
        <v>6.1</v>
      </c>
      <c r="H96" s="134">
        <f t="shared" si="56"/>
        <v>6.1</v>
      </c>
      <c r="I96" s="134" t="str">
        <f t="shared" si="57"/>
        <v/>
      </c>
      <c r="J96" s="135" t="str">
        <f t="shared" si="58"/>
        <v/>
      </c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158"/>
      <c r="W96" s="18"/>
      <c r="X96" s="18"/>
      <c r="Y96" s="18"/>
      <c r="Z96" s="158"/>
      <c r="AA96" s="18"/>
      <c r="AB96" s="18"/>
      <c r="AC96" s="18"/>
      <c r="AD96" s="18"/>
      <c r="AE96" s="18"/>
      <c r="AF96" s="18"/>
      <c r="AG96" s="149"/>
      <c r="AH96" s="48"/>
      <c r="AI96" s="48"/>
      <c r="AJ96" s="48"/>
      <c r="AL96" s="49" t="str">
        <f>A96</f>
        <v>PUEB</v>
      </c>
      <c r="AM96" s="50">
        <f>IF(Config!$C$6&gt;=12,"0",(B96/12))</f>
        <v>9.7600833333333359</v>
      </c>
      <c r="AN96" s="51">
        <f>C96</f>
        <v>49</v>
      </c>
      <c r="AO96" s="51">
        <f t="shared" si="54"/>
        <v>3</v>
      </c>
      <c r="AP96" s="183">
        <f>G96</f>
        <v>6.1</v>
      </c>
      <c r="AQ96" s="52">
        <f>AN96-AO96</f>
        <v>46</v>
      </c>
    </row>
    <row r="97" spans="1:43" s="159" customFormat="1" ht="18" customHeight="1" x14ac:dyDescent="0.25">
      <c r="A97" s="163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158"/>
      <c r="V97" s="94"/>
      <c r="W97" s="18"/>
      <c r="X97" s="18"/>
      <c r="Y97" s="18"/>
      <c r="Z97" s="158"/>
      <c r="AA97" s="18"/>
      <c r="AB97" s="18"/>
      <c r="AC97" s="18"/>
      <c r="AD97" s="18"/>
      <c r="AE97" s="18"/>
      <c r="AF97" s="18"/>
      <c r="AG97" s="149"/>
      <c r="AH97" s="48"/>
      <c r="AI97" s="48"/>
      <c r="AJ97" s="48"/>
      <c r="AO97" s="48"/>
      <c r="AP97" s="4"/>
    </row>
    <row r="98" spans="1:43" s="159" customFormat="1" ht="18" customHeight="1" x14ac:dyDescent="0.25">
      <c r="A98" s="163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158"/>
      <c r="V98" s="94"/>
      <c r="W98" s="18"/>
      <c r="X98" s="18"/>
      <c r="Y98" s="18"/>
      <c r="Z98" s="158"/>
      <c r="AA98" s="18"/>
      <c r="AB98" s="18"/>
      <c r="AC98" s="18"/>
      <c r="AD98" s="18"/>
      <c r="AE98" s="18"/>
      <c r="AF98" s="18"/>
      <c r="AG98" s="149"/>
      <c r="AH98" s="48"/>
      <c r="AI98" s="48"/>
      <c r="AJ98" s="48"/>
      <c r="AO98" s="48"/>
      <c r="AP98" s="4"/>
    </row>
    <row r="99" spans="1:43" s="159" customFormat="1" ht="18" customHeight="1" x14ac:dyDescent="0.25">
      <c r="A99" s="163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158"/>
      <c r="V99" s="94"/>
      <c r="W99" s="18"/>
      <c r="X99" s="18"/>
      <c r="Y99" s="18"/>
      <c r="Z99" s="158"/>
      <c r="AA99" s="18"/>
      <c r="AB99" s="18"/>
      <c r="AC99" s="18"/>
      <c r="AD99" s="18"/>
      <c r="AE99" s="18"/>
      <c r="AF99" s="18"/>
      <c r="AG99" s="149"/>
      <c r="AH99" s="48"/>
      <c r="AI99" s="48"/>
      <c r="AJ99" s="48"/>
      <c r="AO99" s="48"/>
      <c r="AP99" s="4"/>
    </row>
    <row r="100" spans="1:43" s="159" customFormat="1" ht="18" customHeight="1" x14ac:dyDescent="0.25">
      <c r="A100" s="163"/>
      <c r="H100" s="48"/>
      <c r="I100" s="48"/>
      <c r="J100" s="48"/>
      <c r="K100" s="105"/>
      <c r="L100" s="48"/>
      <c r="M100" s="48"/>
      <c r="N100" s="48"/>
      <c r="O100" s="48"/>
      <c r="P100" s="48"/>
      <c r="Q100" s="48"/>
      <c r="R100" s="48"/>
      <c r="S100" s="48"/>
      <c r="T100" s="48"/>
      <c r="U100" s="158"/>
      <c r="V100" s="94"/>
      <c r="W100" s="18"/>
      <c r="X100" s="18"/>
      <c r="Y100" s="18"/>
      <c r="Z100" s="158"/>
      <c r="AA100" s="18"/>
      <c r="AB100" s="18"/>
      <c r="AC100" s="18"/>
      <c r="AD100" s="18"/>
      <c r="AE100" s="18"/>
      <c r="AF100" s="18"/>
      <c r="AG100" s="149"/>
      <c r="AH100" s="48"/>
      <c r="AI100" s="48"/>
      <c r="AJ100" s="48"/>
      <c r="AO100" s="48"/>
      <c r="AP100" s="4"/>
    </row>
    <row r="101" spans="1:43" s="159" customFormat="1" ht="18" customHeight="1" x14ac:dyDescent="0.25">
      <c r="A101" s="163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158"/>
      <c r="V101" s="94"/>
      <c r="W101" s="18"/>
      <c r="X101" s="18"/>
      <c r="Y101" s="18"/>
      <c r="Z101" s="158"/>
      <c r="AA101" s="18"/>
      <c r="AB101" s="18"/>
      <c r="AC101" s="18"/>
      <c r="AD101" s="18"/>
      <c r="AE101" s="18"/>
      <c r="AF101" s="18"/>
      <c r="AG101" s="149"/>
      <c r="AH101" s="48"/>
      <c r="AI101" s="48"/>
      <c r="AJ101" s="48"/>
      <c r="AO101" s="48"/>
      <c r="AP101" s="4"/>
    </row>
    <row r="102" spans="1:43" s="159" customFormat="1" ht="18" customHeight="1" x14ac:dyDescent="0.25">
      <c r="A102" s="163"/>
      <c r="H102" s="48"/>
      <c r="I102" s="48"/>
      <c r="J102" s="48"/>
      <c r="K102" s="105"/>
      <c r="L102" s="48"/>
      <c r="M102" s="48"/>
      <c r="N102" s="48"/>
      <c r="O102" s="48"/>
      <c r="P102" s="48"/>
      <c r="Q102" s="48"/>
      <c r="R102" s="48"/>
      <c r="S102" s="48"/>
      <c r="T102" s="48"/>
      <c r="U102" s="158"/>
      <c r="V102" s="94"/>
      <c r="W102" s="18"/>
      <c r="X102" s="18"/>
      <c r="Y102" s="18"/>
      <c r="Z102" s="158"/>
      <c r="AA102" s="18"/>
      <c r="AB102" s="18"/>
      <c r="AC102" s="18"/>
      <c r="AD102" s="18"/>
      <c r="AE102" s="18"/>
      <c r="AF102" s="18"/>
      <c r="AG102" s="149"/>
      <c r="AH102" s="48"/>
      <c r="AI102" s="48"/>
      <c r="AJ102" s="48"/>
      <c r="AO102" s="48"/>
      <c r="AP102" s="4"/>
    </row>
    <row r="103" spans="1:43" s="159" customFormat="1" ht="18" customHeight="1" x14ac:dyDescent="0.25">
      <c r="A103" s="163"/>
      <c r="H103" s="48"/>
      <c r="I103" s="48"/>
      <c r="J103" s="48"/>
      <c r="K103" s="105"/>
      <c r="L103" s="48"/>
      <c r="M103" s="48"/>
      <c r="N103" s="48"/>
      <c r="O103" s="48"/>
      <c r="P103" s="48"/>
      <c r="Q103" s="48"/>
      <c r="R103" s="48"/>
      <c r="S103" s="48"/>
      <c r="T103" s="48"/>
      <c r="U103" s="158"/>
      <c r="V103" s="94"/>
      <c r="W103" s="18"/>
      <c r="X103" s="18"/>
      <c r="Y103" s="18"/>
      <c r="Z103" s="158"/>
      <c r="AA103" s="18"/>
      <c r="AB103" s="18"/>
      <c r="AC103" s="18"/>
      <c r="AD103" s="18"/>
      <c r="AE103" s="18"/>
      <c r="AF103" s="18"/>
      <c r="AG103" s="149"/>
      <c r="AH103" s="48"/>
      <c r="AI103" s="48"/>
      <c r="AJ103" s="48"/>
      <c r="AO103" s="48"/>
      <c r="AP103" s="4"/>
    </row>
    <row r="104" spans="1:43" s="159" customFormat="1" ht="18" customHeight="1" x14ac:dyDescent="0.25">
      <c r="A104" s="5" t="str">
        <f>METAS!$B$107</f>
        <v>NIÑOS MENORES DE 36 MESES DE EDAD CON SUPLEMENTO DE HIERRO Y OTROS MICRONUTRIENTES</v>
      </c>
      <c r="B104" s="48"/>
      <c r="C104" s="101"/>
      <c r="D104" s="102"/>
      <c r="E104" s="102"/>
      <c r="F104" s="103"/>
      <c r="G104" s="103"/>
      <c r="H104" s="103"/>
      <c r="I104" s="189"/>
      <c r="J104" s="187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158"/>
      <c r="W104" s="18"/>
      <c r="X104" s="18"/>
      <c r="Y104" s="18"/>
      <c r="Z104" s="158"/>
      <c r="AA104" s="18"/>
      <c r="AB104" s="18"/>
      <c r="AC104" s="18"/>
      <c r="AD104" s="18"/>
      <c r="AE104" s="18"/>
      <c r="AF104" s="18"/>
      <c r="AG104" s="149"/>
      <c r="AH104" s="48"/>
      <c r="AI104" s="48"/>
      <c r="AJ104" s="48"/>
      <c r="AL104" s="48" t="str">
        <f t="shared" ref="AL104:AL111" si="65">A104</f>
        <v>NIÑOS MENORES DE 36 MESES DE EDAD CON SUPLEMENTO DE HIERRO Y OTROS MICRONUTRIENTES</v>
      </c>
      <c r="AM104" s="48"/>
      <c r="AN104" s="48"/>
      <c r="AO104" s="48"/>
      <c r="AP104" s="4"/>
      <c r="AQ104" s="48"/>
    </row>
    <row r="105" spans="1:43" s="159" customFormat="1" ht="48" customHeight="1" thickBot="1" x14ac:dyDescent="0.3">
      <c r="A105" s="107" t="s">
        <v>2</v>
      </c>
      <c r="B105" s="108" t="s">
        <v>275</v>
      </c>
      <c r="C105" s="109" t="s">
        <v>192</v>
      </c>
      <c r="D105" s="108" t="s">
        <v>284</v>
      </c>
      <c r="E105" s="108" t="s">
        <v>1</v>
      </c>
      <c r="F105" s="110"/>
      <c r="G105" s="111" t="s">
        <v>121</v>
      </c>
      <c r="H105" s="112" t="str">
        <f>"DEFICIENTE &lt; = "&amp;$H$3</f>
        <v>DEFICIENTE &lt; = 90</v>
      </c>
      <c r="I105" s="112" t="str">
        <f>"PROCESO &gt; "&amp;$H$3&amp;"  -  &lt; "&amp;$I$3</f>
        <v>PROCESO &gt; 90  -  &lt; 100</v>
      </c>
      <c r="J105" s="112" t="str">
        <f>"OPTIMO &gt; = "&amp;$I$3</f>
        <v>OPTIMO &gt; = 100</v>
      </c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158"/>
      <c r="V105" s="98" t="str">
        <f>A104</f>
        <v>NIÑOS MENORES DE 36 MESES DE EDAD CON SUPLEMENTO DE HIERRO Y OTROS MICRONUTRIENTES</v>
      </c>
      <c r="W105" s="18"/>
      <c r="X105" s="18"/>
      <c r="Y105" s="18"/>
      <c r="Z105" s="158"/>
      <c r="AA105" s="18"/>
      <c r="AB105" s="18"/>
      <c r="AC105" s="18"/>
      <c r="AD105" s="18"/>
      <c r="AE105" s="18"/>
      <c r="AF105" s="158"/>
      <c r="AG105" s="158"/>
      <c r="AH105" s="48"/>
      <c r="AI105" s="48"/>
      <c r="AJ105" s="48"/>
      <c r="AL105" s="113" t="str">
        <f t="shared" si="65"/>
        <v>ESTABLECIMIENTOS</v>
      </c>
      <c r="AM105" s="114" t="s">
        <v>230</v>
      </c>
      <c r="AN105" s="115" t="s">
        <v>231</v>
      </c>
      <c r="AO105" s="116" t="str">
        <f t="shared" ref="AO105:AO111" si="66">D105</f>
        <v>&lt; 36 M Sup Hierro</v>
      </c>
      <c r="AP105" s="116" t="str">
        <f t="shared" ref="AP105:AP111" si="67">G105</f>
        <v>%</v>
      </c>
      <c r="AQ105" s="117" t="s">
        <v>232</v>
      </c>
    </row>
    <row r="106" spans="1:43" s="159" customFormat="1" ht="18" customHeight="1" thickBot="1" x14ac:dyDescent="0.3">
      <c r="A106" s="118" t="str">
        <f>Config!$B$15</f>
        <v>RED</v>
      </c>
      <c r="B106" s="119">
        <f>SUM(B107:B115)</f>
        <v>3987.8729999999996</v>
      </c>
      <c r="C106" s="119">
        <f>SUM(C107:C115)</f>
        <v>1665</v>
      </c>
      <c r="D106" s="119">
        <f>SUM(D107:D115)</f>
        <v>0</v>
      </c>
      <c r="E106" s="119">
        <f>Config!$D$9</f>
        <v>100</v>
      </c>
      <c r="F106" s="120"/>
      <c r="G106" s="119">
        <f>IFERROR(ROUND(D106*100/C106,1),0)</f>
        <v>0</v>
      </c>
      <c r="H106" s="121">
        <f t="shared" ref="H106:H115" si="68">IF(G106&lt;=$H$3,G106,"")</f>
        <v>0</v>
      </c>
      <c r="I106" s="121" t="str">
        <f t="shared" ref="I106:I115" si="69">IF(G106&gt;$H$3,IF(G106&lt;$I$3,G106,""),"")</f>
        <v/>
      </c>
      <c r="J106" s="119" t="str">
        <f t="shared" ref="J106:J115" si="70">IF(G106&gt;=$I$3,G106,"")</f>
        <v/>
      </c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158"/>
      <c r="V106" s="137" t="str">
        <f>$V$1&amp;"  "&amp;V105&amp;"  "&amp;$V$3&amp;"  "&amp;$V$2</f>
        <v>RED. MOYOBAMBA:  NIÑOS MENORES DE 36 MESES DE EDAD CON SUPLEMENTO DE HIERRO Y OTROS MICRONUTRIENTES  - POR MICROREDES :   ENERO - MAYO 2022</v>
      </c>
      <c r="W106" s="18"/>
      <c r="X106" s="18"/>
      <c r="Y106" s="18"/>
      <c r="Z106" s="158"/>
      <c r="AA106" s="18"/>
      <c r="AB106" s="18"/>
      <c r="AC106" s="18"/>
      <c r="AD106" s="18"/>
      <c r="AE106" s="18"/>
      <c r="AF106" s="158"/>
      <c r="AG106" s="158"/>
      <c r="AH106" s="48"/>
      <c r="AI106" s="48"/>
      <c r="AJ106" s="48"/>
      <c r="AL106" s="123" t="str">
        <f t="shared" si="65"/>
        <v>RED</v>
      </c>
      <c r="AM106" s="124">
        <f>SUM(AM107:AM114)</f>
        <v>310.53399999999999</v>
      </c>
      <c r="AN106" s="125">
        <f t="shared" ref="AN106:AN111" si="71">C106</f>
        <v>1665</v>
      </c>
      <c r="AO106" s="124">
        <f t="shared" si="66"/>
        <v>0</v>
      </c>
      <c r="AP106" s="125">
        <f t="shared" si="67"/>
        <v>0</v>
      </c>
      <c r="AQ106" s="125">
        <f>AN106-AP106</f>
        <v>1665</v>
      </c>
    </row>
    <row r="107" spans="1:43" s="159" customFormat="1" ht="18" hidden="1" customHeight="1" x14ac:dyDescent="0.25">
      <c r="A107" s="132" t="str">
        <f>Config!$B$16</f>
        <v>HOSP</v>
      </c>
      <c r="B107" s="127">
        <f>METAS!$AR$107</f>
        <v>0</v>
      </c>
      <c r="C107" s="127">
        <f>ROUNDUP((B107/12)*Config!$C$6,0)</f>
        <v>0</v>
      </c>
      <c r="D107" s="127">
        <f>ACUMULADO!$AT$20</f>
        <v>0</v>
      </c>
      <c r="E107" s="190">
        <f>E106</f>
        <v>100</v>
      </c>
      <c r="F107" s="138"/>
      <c r="G107" s="133">
        <f>IFERROR(ROUND(D107*100/C107,1),0)</f>
        <v>0</v>
      </c>
      <c r="H107" s="134">
        <f t="shared" si="68"/>
        <v>0</v>
      </c>
      <c r="I107" s="134" t="str">
        <f t="shared" si="69"/>
        <v/>
      </c>
      <c r="J107" s="135" t="str">
        <f t="shared" si="70"/>
        <v/>
      </c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158"/>
      <c r="W107" s="18"/>
      <c r="X107" s="18"/>
      <c r="Y107" s="18"/>
      <c r="Z107" s="158"/>
      <c r="AA107" s="18"/>
      <c r="AB107" s="18"/>
      <c r="AC107" s="18"/>
      <c r="AD107" s="18"/>
      <c r="AE107" s="18"/>
      <c r="AF107" s="158"/>
      <c r="AG107" s="158"/>
      <c r="AH107" s="48"/>
      <c r="AI107" s="48"/>
      <c r="AJ107" s="48"/>
      <c r="AL107" s="49" t="str">
        <f t="shared" si="65"/>
        <v>HOSP</v>
      </c>
      <c r="AM107" s="50">
        <f>IF(Config!$C$6&gt;=12,"0",(B107/12))</f>
        <v>0</v>
      </c>
      <c r="AN107" s="51">
        <f t="shared" si="71"/>
        <v>0</v>
      </c>
      <c r="AO107" s="51">
        <f t="shared" si="66"/>
        <v>0</v>
      </c>
      <c r="AP107" s="183">
        <f t="shared" si="67"/>
        <v>0</v>
      </c>
      <c r="AQ107" s="52">
        <f t="shared" ref="AQ107:AQ111" si="72">AN107-AO107</f>
        <v>0</v>
      </c>
    </row>
    <row r="108" spans="1:43" s="159" customFormat="1" ht="18" customHeight="1" x14ac:dyDescent="0.25">
      <c r="A108" s="132" t="str">
        <f>Config!$B$17</f>
        <v>LLUI</v>
      </c>
      <c r="B108" s="127">
        <f>METAS!$AS$107</f>
        <v>1651.296</v>
      </c>
      <c r="C108" s="99">
        <f>ROUNDUP((B108/12)*Config!$C$6,0)</f>
        <v>689</v>
      </c>
      <c r="D108" s="127">
        <f>ACUMULADO!$AU$20</f>
        <v>0</v>
      </c>
      <c r="E108" s="190">
        <f t="shared" ref="E108:E115" si="73">E107</f>
        <v>100</v>
      </c>
      <c r="F108" s="138"/>
      <c r="G108" s="133">
        <f>IFERROR(ROUND(D108*100/C108,1),0)</f>
        <v>0</v>
      </c>
      <c r="H108" s="134">
        <f t="shared" si="68"/>
        <v>0</v>
      </c>
      <c r="I108" s="134" t="str">
        <f t="shared" si="69"/>
        <v/>
      </c>
      <c r="J108" s="135" t="str">
        <f t="shared" si="70"/>
        <v/>
      </c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158"/>
      <c r="V108" s="98"/>
      <c r="W108" s="161"/>
      <c r="X108" s="161"/>
      <c r="Y108" s="18"/>
      <c r="Z108" s="158"/>
      <c r="AA108" s="18"/>
      <c r="AB108" s="18"/>
      <c r="AC108" s="18"/>
      <c r="AD108" s="18"/>
      <c r="AE108" s="18"/>
      <c r="AF108" s="158"/>
      <c r="AG108" s="158"/>
      <c r="AH108" s="48"/>
      <c r="AI108" s="48"/>
      <c r="AJ108" s="48"/>
      <c r="AL108" s="49" t="str">
        <f t="shared" si="65"/>
        <v>LLUI</v>
      </c>
      <c r="AM108" s="50">
        <f>IF(Config!$C$6&gt;=12,"0",(B108/12))</f>
        <v>137.608</v>
      </c>
      <c r="AN108" s="51">
        <f t="shared" si="71"/>
        <v>689</v>
      </c>
      <c r="AO108" s="51">
        <f t="shared" si="66"/>
        <v>0</v>
      </c>
      <c r="AP108" s="183">
        <f t="shared" si="67"/>
        <v>0</v>
      </c>
      <c r="AQ108" s="52">
        <f t="shared" si="72"/>
        <v>689</v>
      </c>
    </row>
    <row r="109" spans="1:43" s="159" customFormat="1" ht="18" customHeight="1" x14ac:dyDescent="0.25">
      <c r="A109" s="132" t="str">
        <f>Config!$B$18</f>
        <v>JERI</v>
      </c>
      <c r="B109" s="127">
        <f>METAS!$AT$107</f>
        <v>161.60200000000003</v>
      </c>
      <c r="C109" s="99">
        <f>ROUNDUP((B109/12)*Config!$C$6,0)</f>
        <v>68</v>
      </c>
      <c r="D109" s="127">
        <f>ACUMULADO!$AV$20</f>
        <v>0</v>
      </c>
      <c r="E109" s="190">
        <f t="shared" si="73"/>
        <v>100</v>
      </c>
      <c r="F109" s="138"/>
      <c r="G109" s="133">
        <f t="shared" ref="G109" si="74">IFERROR(ROUND(D109*100/C109,1),0)</f>
        <v>0</v>
      </c>
      <c r="H109" s="134">
        <f t="shared" si="68"/>
        <v>0</v>
      </c>
      <c r="I109" s="134" t="str">
        <f t="shared" si="69"/>
        <v/>
      </c>
      <c r="J109" s="135" t="str">
        <f t="shared" si="70"/>
        <v/>
      </c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158"/>
      <c r="V109" s="98"/>
      <c r="W109" s="18"/>
      <c r="X109" s="18"/>
      <c r="Y109" s="18"/>
      <c r="Z109" s="158"/>
      <c r="AA109" s="18"/>
      <c r="AB109" s="18"/>
      <c r="AC109" s="18"/>
      <c r="AD109" s="18"/>
      <c r="AE109" s="18"/>
      <c r="AF109" s="158"/>
      <c r="AG109" s="158"/>
      <c r="AH109" s="48"/>
      <c r="AI109" s="48"/>
      <c r="AJ109" s="48"/>
      <c r="AL109" s="49" t="str">
        <f t="shared" si="65"/>
        <v>JERI</v>
      </c>
      <c r="AM109" s="50">
        <f>IF(Config!$C$6&gt;=12,"0",(B109/12))</f>
        <v>13.466833333333335</v>
      </c>
      <c r="AN109" s="51">
        <f t="shared" si="71"/>
        <v>68</v>
      </c>
      <c r="AO109" s="51">
        <f t="shared" si="66"/>
        <v>0</v>
      </c>
      <c r="AP109" s="183">
        <f t="shared" si="67"/>
        <v>0</v>
      </c>
      <c r="AQ109" s="52">
        <f t="shared" si="72"/>
        <v>68</v>
      </c>
    </row>
    <row r="110" spans="1:43" s="159" customFormat="1" ht="18" customHeight="1" x14ac:dyDescent="0.25">
      <c r="A110" s="132" t="str">
        <f>Config!$B$19</f>
        <v>YANT</v>
      </c>
      <c r="B110" s="127">
        <f>METAS!$AU$107</f>
        <v>296.82500000000005</v>
      </c>
      <c r="C110" s="99">
        <f>ROUNDUP((B110/12)*Config!$C$6,0)</f>
        <v>124</v>
      </c>
      <c r="D110" s="127">
        <f>ACUMULADO!$AW$20</f>
        <v>0</v>
      </c>
      <c r="E110" s="190">
        <f t="shared" si="73"/>
        <v>100</v>
      </c>
      <c r="F110" s="138"/>
      <c r="G110" s="133">
        <f>IFERROR(ROUND(D110*100/C110,1),0)</f>
        <v>0</v>
      </c>
      <c r="H110" s="134">
        <f t="shared" si="68"/>
        <v>0</v>
      </c>
      <c r="I110" s="134" t="str">
        <f t="shared" si="69"/>
        <v/>
      </c>
      <c r="J110" s="135" t="str">
        <f t="shared" si="70"/>
        <v/>
      </c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158"/>
      <c r="V110" s="48"/>
      <c r="W110" s="18"/>
      <c r="X110" s="18"/>
      <c r="Y110" s="18"/>
      <c r="Z110" s="158"/>
      <c r="AA110" s="18"/>
      <c r="AB110" s="18"/>
      <c r="AC110" s="18"/>
      <c r="AD110" s="18"/>
      <c r="AE110" s="18"/>
      <c r="AF110" s="158"/>
      <c r="AG110" s="158"/>
      <c r="AH110" s="48"/>
      <c r="AI110" s="48"/>
      <c r="AJ110" s="48"/>
      <c r="AL110" s="49" t="str">
        <f t="shared" si="65"/>
        <v>YANT</v>
      </c>
      <c r="AM110" s="50">
        <f>IF(Config!$C$6&gt;=12,"0",(B110/12))</f>
        <v>24.735416666666669</v>
      </c>
      <c r="AN110" s="51">
        <f t="shared" si="71"/>
        <v>124</v>
      </c>
      <c r="AO110" s="51">
        <f t="shared" si="66"/>
        <v>0</v>
      </c>
      <c r="AP110" s="183">
        <f t="shared" si="67"/>
        <v>0</v>
      </c>
      <c r="AQ110" s="52">
        <f t="shared" si="72"/>
        <v>124</v>
      </c>
    </row>
    <row r="111" spans="1:43" s="159" customFormat="1" ht="18" customHeight="1" x14ac:dyDescent="0.25">
      <c r="A111" s="132" t="str">
        <f>Config!$B$20</f>
        <v>SORI</v>
      </c>
      <c r="B111" s="127">
        <f>METAS!$AV$107</f>
        <v>774.95500000000004</v>
      </c>
      <c r="C111" s="99">
        <f>ROUNDUP((B111/12)*Config!$C$6,0)</f>
        <v>323</v>
      </c>
      <c r="D111" s="127">
        <f>ACUMULADO!$AX$20</f>
        <v>0</v>
      </c>
      <c r="E111" s="190">
        <f t="shared" si="73"/>
        <v>100</v>
      </c>
      <c r="F111" s="138"/>
      <c r="G111" s="133">
        <f t="shared" ref="G111" si="75">IFERROR(ROUND(D111*100/C111,1),0)</f>
        <v>0</v>
      </c>
      <c r="H111" s="134">
        <f t="shared" si="68"/>
        <v>0</v>
      </c>
      <c r="I111" s="134" t="str">
        <f t="shared" si="69"/>
        <v/>
      </c>
      <c r="J111" s="135" t="str">
        <f t="shared" si="70"/>
        <v/>
      </c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158"/>
      <c r="V111" s="94"/>
      <c r="W111" s="18"/>
      <c r="X111" s="18"/>
      <c r="Y111" s="18"/>
      <c r="Z111" s="158"/>
      <c r="AA111" s="18"/>
      <c r="AB111" s="18"/>
      <c r="AC111" s="18"/>
      <c r="AD111" s="18"/>
      <c r="AE111" s="18"/>
      <c r="AF111" s="158"/>
      <c r="AG111" s="158"/>
      <c r="AH111" s="48"/>
      <c r="AI111" s="48"/>
      <c r="AJ111" s="48"/>
      <c r="AL111" s="49" t="str">
        <f t="shared" si="65"/>
        <v>SORI</v>
      </c>
      <c r="AM111" s="50">
        <f>IF(Config!$C$6&gt;=12,"0",(B111/12))</f>
        <v>64.579583333333332</v>
      </c>
      <c r="AN111" s="51">
        <f t="shared" si="71"/>
        <v>323</v>
      </c>
      <c r="AO111" s="51">
        <f t="shared" si="66"/>
        <v>0</v>
      </c>
      <c r="AP111" s="183">
        <f t="shared" si="67"/>
        <v>0</v>
      </c>
      <c r="AQ111" s="52">
        <f t="shared" si="72"/>
        <v>323</v>
      </c>
    </row>
    <row r="112" spans="1:43" s="159" customFormat="1" ht="18" customHeight="1" x14ac:dyDescent="0.25">
      <c r="A112" s="132" t="str">
        <f>Config!$B$21</f>
        <v>JEPE</v>
      </c>
      <c r="B112" s="127">
        <f>METAS!$AW$107</f>
        <v>312.85599999999999</v>
      </c>
      <c r="C112" s="99">
        <f>ROUNDUP((B112/12)*Config!$C$6,0)</f>
        <v>131</v>
      </c>
      <c r="D112" s="127">
        <f>ACUMULADO!$AY$20</f>
        <v>0</v>
      </c>
      <c r="E112" s="190">
        <f t="shared" si="73"/>
        <v>100</v>
      </c>
      <c r="F112" s="138"/>
      <c r="G112" s="133">
        <f>IFERROR(ROUND(D112*100/C112,1),0)</f>
        <v>0</v>
      </c>
      <c r="H112" s="134">
        <f t="shared" si="68"/>
        <v>0</v>
      </c>
      <c r="I112" s="134" t="str">
        <f t="shared" si="69"/>
        <v/>
      </c>
      <c r="J112" s="135" t="str">
        <f t="shared" si="70"/>
        <v/>
      </c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158"/>
      <c r="V112" s="191"/>
      <c r="W112" s="149"/>
      <c r="X112" s="149"/>
      <c r="Y112" s="18"/>
      <c r="Z112" s="158"/>
      <c r="AA112" s="18"/>
      <c r="AB112" s="18"/>
      <c r="AC112" s="18"/>
      <c r="AD112" s="18"/>
      <c r="AE112" s="18"/>
      <c r="AF112" s="158"/>
      <c r="AG112" s="158"/>
      <c r="AH112" s="48"/>
      <c r="AI112" s="48"/>
      <c r="AJ112" s="48"/>
      <c r="AL112" s="49" t="str">
        <f>A112</f>
        <v>JEPE</v>
      </c>
      <c r="AM112" s="50">
        <f>IF(Config!$C$6&gt;=12,"0",(B112/12))</f>
        <v>26.071333333333332</v>
      </c>
      <c r="AN112" s="51">
        <f>C112</f>
        <v>131</v>
      </c>
      <c r="AO112" s="51">
        <f>D112</f>
        <v>0</v>
      </c>
      <c r="AP112" s="183">
        <f>G112</f>
        <v>0</v>
      </c>
      <c r="AQ112" s="52">
        <f>AN112-AO112</f>
        <v>131</v>
      </c>
    </row>
    <row r="113" spans="1:43" s="159" customFormat="1" ht="18" customHeight="1" x14ac:dyDescent="0.25">
      <c r="A113" s="132" t="str">
        <f>Config!$B$22</f>
        <v>ROQU</v>
      </c>
      <c r="B113" s="127">
        <f>METAS!$AX$107</f>
        <v>287.95700000000005</v>
      </c>
      <c r="C113" s="99">
        <f>ROUNDUP((B113/12)*Config!$C$6,0)</f>
        <v>120</v>
      </c>
      <c r="D113" s="127">
        <f>ACUMULADO!$AZ$20</f>
        <v>0</v>
      </c>
      <c r="E113" s="190">
        <f t="shared" si="73"/>
        <v>100</v>
      </c>
      <c r="F113" s="138"/>
      <c r="G113" s="133">
        <f>IFERROR(ROUND(D113*100/C113,1),0)</f>
        <v>0</v>
      </c>
      <c r="H113" s="134">
        <f t="shared" si="68"/>
        <v>0</v>
      </c>
      <c r="I113" s="134" t="str">
        <f t="shared" si="69"/>
        <v/>
      </c>
      <c r="J113" s="135" t="str">
        <f t="shared" si="70"/>
        <v/>
      </c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158"/>
      <c r="W113" s="18"/>
      <c r="X113" s="18"/>
      <c r="Y113" s="18"/>
      <c r="Z113" s="158"/>
      <c r="AA113" s="18"/>
      <c r="AB113" s="18"/>
      <c r="AC113" s="18"/>
      <c r="AD113" s="18"/>
      <c r="AE113" s="18"/>
      <c r="AF113" s="158"/>
      <c r="AG113" s="158"/>
      <c r="AH113" s="48"/>
      <c r="AI113" s="48"/>
      <c r="AJ113" s="48"/>
      <c r="AL113" s="49" t="str">
        <f>A113</f>
        <v>ROQU</v>
      </c>
      <c r="AM113" s="50">
        <f>IF(Config!$C$6&gt;=12,"0",(B113/12))</f>
        <v>23.996416666666672</v>
      </c>
      <c r="AN113" s="51">
        <f>C113</f>
        <v>120</v>
      </c>
      <c r="AO113" s="51">
        <f>D113</f>
        <v>0</v>
      </c>
      <c r="AP113" s="183">
        <f>G113</f>
        <v>0</v>
      </c>
      <c r="AQ113" s="52">
        <f>AN113-AO113</f>
        <v>120</v>
      </c>
    </row>
    <row r="114" spans="1:43" s="159" customFormat="1" ht="18" customHeight="1" x14ac:dyDescent="0.25">
      <c r="A114" s="132" t="str">
        <f>Config!$B$23</f>
        <v>CALZ</v>
      </c>
      <c r="B114" s="127">
        <f>METAS!$AY$107</f>
        <v>240.91700000000003</v>
      </c>
      <c r="C114" s="99">
        <f>ROUNDUP((B114/12)*Config!$C$6,0)</f>
        <v>101</v>
      </c>
      <c r="D114" s="127">
        <f>ACUMULADO!$BA$20</f>
        <v>0</v>
      </c>
      <c r="E114" s="190">
        <f t="shared" si="73"/>
        <v>100</v>
      </c>
      <c r="F114" s="138"/>
      <c r="G114" s="133">
        <f t="shared" ref="G114:G115" si="76">IFERROR(ROUND(D114*100/C114,1),0)</f>
        <v>0</v>
      </c>
      <c r="H114" s="134">
        <f t="shared" si="68"/>
        <v>0</v>
      </c>
      <c r="I114" s="134" t="str">
        <f t="shared" si="69"/>
        <v/>
      </c>
      <c r="J114" s="135" t="str">
        <f t="shared" si="70"/>
        <v/>
      </c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158"/>
      <c r="V114" s="94"/>
      <c r="W114" s="18"/>
      <c r="X114" s="18"/>
      <c r="Y114" s="18"/>
      <c r="Z114" s="158"/>
      <c r="AA114" s="18"/>
      <c r="AB114" s="18"/>
      <c r="AC114" s="18"/>
      <c r="AD114" s="18"/>
      <c r="AE114" s="18"/>
      <c r="AF114" s="158"/>
      <c r="AG114" s="158"/>
      <c r="AH114" s="48"/>
      <c r="AI114" s="48"/>
      <c r="AJ114" s="48"/>
      <c r="AL114" s="49" t="str">
        <f t="shared" ref="AL114" si="77">A114</f>
        <v>CALZ</v>
      </c>
      <c r="AM114" s="50">
        <f>IF(Config!$C$6&gt;=12,"0",(B114/12))</f>
        <v>20.07641666666667</v>
      </c>
      <c r="AN114" s="51">
        <f t="shared" ref="AN114:AO115" si="78">C114</f>
        <v>101</v>
      </c>
      <c r="AO114" s="51">
        <f t="shared" si="78"/>
        <v>0</v>
      </c>
      <c r="AP114" s="183">
        <f t="shared" ref="AP114" si="79">G114</f>
        <v>0</v>
      </c>
      <c r="AQ114" s="52">
        <f t="shared" ref="AQ114" si="80">AN114-AO114</f>
        <v>101</v>
      </c>
    </row>
    <row r="115" spans="1:43" s="159" customFormat="1" ht="18" customHeight="1" x14ac:dyDescent="0.25">
      <c r="A115" s="132" t="str">
        <f>Config!$B$24</f>
        <v>PUEB</v>
      </c>
      <c r="B115" s="127">
        <f>METAS!$AZ$107</f>
        <v>261.46500000000003</v>
      </c>
      <c r="C115" s="99">
        <f>ROUNDUP((B115/12)*Config!$C$6,0)</f>
        <v>109</v>
      </c>
      <c r="D115" s="127">
        <f>ACUMULADO!$BB$20</f>
        <v>0</v>
      </c>
      <c r="E115" s="190">
        <f t="shared" si="73"/>
        <v>100</v>
      </c>
      <c r="F115" s="138"/>
      <c r="G115" s="133">
        <f t="shared" si="76"/>
        <v>0</v>
      </c>
      <c r="H115" s="134">
        <f t="shared" si="68"/>
        <v>0</v>
      </c>
      <c r="I115" s="134" t="str">
        <f t="shared" si="69"/>
        <v/>
      </c>
      <c r="J115" s="135" t="str">
        <f t="shared" si="70"/>
        <v/>
      </c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158"/>
      <c r="W115" s="18"/>
      <c r="X115" s="18"/>
      <c r="Y115" s="18"/>
      <c r="Z115" s="158"/>
      <c r="AA115" s="18"/>
      <c r="AB115" s="18"/>
      <c r="AC115" s="18"/>
      <c r="AD115" s="18"/>
      <c r="AE115" s="18"/>
      <c r="AF115" s="158"/>
      <c r="AG115" s="158"/>
      <c r="AH115" s="48"/>
      <c r="AI115" s="48"/>
      <c r="AJ115" s="48"/>
      <c r="AL115" s="49" t="str">
        <f>A115</f>
        <v>PUEB</v>
      </c>
      <c r="AM115" s="50">
        <f>IF(Config!$C$6&gt;=12,"0",(B115/12))</f>
        <v>21.788750000000004</v>
      </c>
      <c r="AN115" s="51">
        <f>C115</f>
        <v>109</v>
      </c>
      <c r="AO115" s="51">
        <f t="shared" si="78"/>
        <v>0</v>
      </c>
      <c r="AP115" s="183">
        <f>G115</f>
        <v>0</v>
      </c>
      <c r="AQ115" s="52">
        <f>AN115-AO115</f>
        <v>109</v>
      </c>
    </row>
    <row r="116" spans="1:43" s="159" customFormat="1" ht="18" customHeight="1" x14ac:dyDescent="0.25">
      <c r="A116" s="163"/>
      <c r="B116" s="164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158"/>
      <c r="V116" s="94"/>
      <c r="W116" s="18"/>
      <c r="X116" s="18"/>
      <c r="Y116" s="18"/>
      <c r="Z116" s="158"/>
      <c r="AA116" s="18"/>
      <c r="AB116" s="18"/>
      <c r="AC116" s="18"/>
      <c r="AD116" s="18"/>
      <c r="AE116" s="18"/>
      <c r="AF116" s="18"/>
      <c r="AG116" s="149"/>
      <c r="AH116" s="48"/>
      <c r="AI116" s="48"/>
      <c r="AJ116" s="48"/>
      <c r="AO116" s="48"/>
      <c r="AP116" s="4"/>
    </row>
    <row r="117" spans="1:43" s="159" customFormat="1" ht="18" customHeight="1" x14ac:dyDescent="0.25">
      <c r="A117" s="163"/>
      <c r="B117" s="164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158"/>
      <c r="V117" s="94"/>
      <c r="W117" s="18"/>
      <c r="X117" s="18"/>
      <c r="Y117" s="18"/>
      <c r="Z117" s="158"/>
      <c r="AA117" s="18"/>
      <c r="AB117" s="18"/>
      <c r="AC117" s="18"/>
      <c r="AD117" s="18"/>
      <c r="AE117" s="18"/>
      <c r="AF117" s="18"/>
      <c r="AG117" s="149"/>
      <c r="AH117" s="48"/>
      <c r="AI117" s="48"/>
      <c r="AJ117" s="48"/>
      <c r="AO117" s="48"/>
      <c r="AP117" s="4"/>
    </row>
    <row r="118" spans="1:43" s="159" customFormat="1" ht="18" customHeight="1" x14ac:dyDescent="0.25">
      <c r="A118" s="163"/>
      <c r="B118" s="164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158"/>
      <c r="V118" s="94"/>
      <c r="W118" s="18"/>
      <c r="X118" s="18"/>
      <c r="Y118" s="18"/>
      <c r="Z118" s="158"/>
      <c r="AA118" s="18"/>
      <c r="AB118" s="18"/>
      <c r="AC118" s="18"/>
      <c r="AD118" s="18"/>
      <c r="AE118" s="18"/>
      <c r="AF118" s="18"/>
      <c r="AG118" s="149"/>
      <c r="AH118" s="48"/>
      <c r="AI118" s="48"/>
      <c r="AJ118" s="48"/>
      <c r="AO118" s="48"/>
      <c r="AP118" s="4"/>
    </row>
    <row r="119" spans="1:43" s="159" customFormat="1" ht="18" customHeight="1" x14ac:dyDescent="0.25">
      <c r="A119" s="163"/>
      <c r="B119" s="164"/>
      <c r="H119" s="48"/>
      <c r="I119" s="48"/>
      <c r="J119" s="48"/>
      <c r="K119" s="105"/>
      <c r="L119" s="48"/>
      <c r="M119" s="48"/>
      <c r="N119" s="48"/>
      <c r="O119" s="48"/>
      <c r="P119" s="48"/>
      <c r="Q119" s="48"/>
      <c r="R119" s="48"/>
      <c r="S119" s="48"/>
      <c r="T119" s="48"/>
      <c r="U119" s="158"/>
      <c r="V119" s="94"/>
      <c r="W119" s="18"/>
      <c r="X119" s="18"/>
      <c r="Y119" s="18"/>
      <c r="Z119" s="158"/>
      <c r="AA119" s="18"/>
      <c r="AB119" s="18"/>
      <c r="AC119" s="18"/>
      <c r="AD119" s="18"/>
      <c r="AE119" s="18"/>
      <c r="AF119" s="18"/>
      <c r="AG119" s="149"/>
      <c r="AH119" s="48"/>
      <c r="AI119" s="48"/>
      <c r="AJ119" s="48"/>
      <c r="AO119" s="48"/>
      <c r="AP119" s="4"/>
    </row>
    <row r="120" spans="1:43" s="159" customFormat="1" ht="18" customHeight="1" x14ac:dyDescent="0.25">
      <c r="A120" s="163"/>
      <c r="B120" s="164"/>
      <c r="H120" s="48"/>
      <c r="I120" s="48"/>
      <c r="J120" s="48"/>
      <c r="K120" s="105"/>
      <c r="L120" s="48"/>
      <c r="M120" s="48"/>
      <c r="N120" s="48"/>
      <c r="O120" s="48"/>
      <c r="P120" s="48"/>
      <c r="Q120" s="48"/>
      <c r="R120" s="48"/>
      <c r="S120" s="48"/>
      <c r="T120" s="48"/>
      <c r="U120" s="158"/>
      <c r="V120" s="94"/>
      <c r="W120" s="18"/>
      <c r="X120" s="18"/>
      <c r="Y120" s="18"/>
      <c r="Z120" s="158"/>
      <c r="AA120" s="18"/>
      <c r="AB120" s="18"/>
      <c r="AC120" s="18"/>
      <c r="AD120" s="18"/>
      <c r="AE120" s="18"/>
      <c r="AF120" s="18"/>
      <c r="AG120" s="149"/>
      <c r="AH120" s="48"/>
      <c r="AI120" s="48"/>
      <c r="AJ120" s="48"/>
      <c r="AO120" s="48"/>
      <c r="AP120" s="4"/>
    </row>
    <row r="121" spans="1:43" s="159" customFormat="1" ht="18" customHeight="1" x14ac:dyDescent="0.25">
      <c r="A121" s="5"/>
      <c r="B121" s="164"/>
      <c r="C121" s="101"/>
      <c r="D121" s="102"/>
      <c r="E121" s="102"/>
      <c r="F121" s="103"/>
      <c r="G121" s="103"/>
      <c r="H121" s="103"/>
      <c r="I121" s="186"/>
      <c r="J121" s="187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158"/>
      <c r="V121" s="94"/>
      <c r="W121" s="18"/>
      <c r="X121" s="18"/>
      <c r="Y121" s="18"/>
      <c r="Z121" s="158"/>
      <c r="AA121" s="18"/>
      <c r="AB121" s="18"/>
      <c r="AC121" s="18"/>
      <c r="AD121" s="18"/>
      <c r="AE121" s="18"/>
      <c r="AF121" s="18"/>
      <c r="AG121" s="149"/>
      <c r="AH121" s="48"/>
      <c r="AI121" s="48"/>
      <c r="AJ121" s="48"/>
      <c r="AO121" s="48"/>
      <c r="AP121" s="4"/>
    </row>
    <row r="122" spans="1:43" s="159" customFormat="1" ht="18" customHeight="1" x14ac:dyDescent="0.25">
      <c r="A122" s="5"/>
      <c r="B122" s="164"/>
      <c r="C122" s="101"/>
      <c r="D122" s="102"/>
      <c r="E122" s="102"/>
      <c r="F122" s="103"/>
      <c r="G122" s="103"/>
      <c r="H122" s="103"/>
      <c r="I122" s="186"/>
      <c r="J122" s="187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158"/>
      <c r="W122" s="18"/>
      <c r="X122" s="18"/>
      <c r="Y122" s="18"/>
      <c r="Z122" s="158"/>
      <c r="AA122" s="18"/>
      <c r="AB122" s="18"/>
      <c r="AC122" s="18"/>
      <c r="AD122" s="18"/>
      <c r="AE122" s="18"/>
      <c r="AF122" s="18"/>
      <c r="AG122" s="149"/>
      <c r="AH122" s="48"/>
      <c r="AI122" s="48"/>
      <c r="AJ122" s="48"/>
      <c r="AO122" s="48"/>
      <c r="AP122" s="4"/>
    </row>
    <row r="123" spans="1:43" s="159" customFormat="1" ht="18" customHeight="1" x14ac:dyDescent="0.25">
      <c r="A123" s="5"/>
      <c r="B123" s="164"/>
      <c r="C123" s="101"/>
      <c r="D123" s="102"/>
      <c r="E123" s="102"/>
      <c r="F123" s="103"/>
      <c r="G123" s="103"/>
      <c r="H123" s="103"/>
      <c r="I123" s="186"/>
      <c r="J123" s="187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158"/>
      <c r="W123" s="18"/>
      <c r="X123" s="18"/>
      <c r="Y123" s="18"/>
      <c r="Z123" s="158"/>
      <c r="AA123" s="18"/>
      <c r="AB123" s="18"/>
      <c r="AC123" s="18"/>
      <c r="AD123" s="18"/>
      <c r="AE123" s="18"/>
      <c r="AF123" s="18"/>
      <c r="AG123" s="149"/>
      <c r="AH123" s="48"/>
      <c r="AI123" s="48"/>
      <c r="AJ123" s="48"/>
      <c r="AO123" s="48"/>
      <c r="AP123" s="4"/>
    </row>
    <row r="124" spans="1:43" s="159" customFormat="1" ht="18" customHeight="1" x14ac:dyDescent="0.25">
      <c r="A124" s="163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158"/>
      <c r="V124" s="94"/>
      <c r="W124" s="18"/>
      <c r="X124" s="18"/>
      <c r="Y124" s="18"/>
      <c r="Z124" s="158"/>
      <c r="AA124" s="18"/>
      <c r="AB124" s="18"/>
      <c r="AC124" s="18"/>
      <c r="AD124" s="18"/>
      <c r="AE124" s="18"/>
      <c r="AF124" s="18"/>
      <c r="AG124" s="149"/>
      <c r="AH124" s="48"/>
      <c r="AI124" s="48"/>
      <c r="AJ124" s="48"/>
      <c r="AO124" s="48"/>
      <c r="AP124" s="4"/>
    </row>
    <row r="125" spans="1:43" s="159" customFormat="1" ht="18" customHeight="1" x14ac:dyDescent="0.25">
      <c r="A125" s="163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158"/>
      <c r="W125" s="18"/>
      <c r="X125" s="18"/>
      <c r="Y125" s="18"/>
      <c r="Z125" s="158"/>
      <c r="AA125" s="18"/>
      <c r="AB125" s="18"/>
      <c r="AC125" s="18"/>
      <c r="AD125" s="18"/>
      <c r="AE125" s="18"/>
      <c r="AF125" s="18"/>
      <c r="AG125" s="149"/>
      <c r="AH125" s="48"/>
      <c r="AI125" s="48"/>
      <c r="AJ125" s="48"/>
      <c r="AO125" s="48"/>
      <c r="AP125" s="4"/>
    </row>
    <row r="126" spans="1:43" s="159" customFormat="1" ht="18" customHeight="1" x14ac:dyDescent="0.25">
      <c r="A126" s="5" t="str">
        <f>METAS!$B$108</f>
        <v>NIÑOS MENORES DE UN AÑO  ( 6 A 11 MESES) CON  SUPLEMENTO DE VITAMINA A</v>
      </c>
      <c r="B126" s="48"/>
      <c r="C126" s="101"/>
      <c r="D126" s="102"/>
      <c r="E126" s="102"/>
      <c r="F126" s="103"/>
      <c r="G126" s="103"/>
      <c r="H126" s="103"/>
      <c r="I126" s="189"/>
      <c r="J126" s="187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158"/>
      <c r="V126" s="98" t="str">
        <f>A126</f>
        <v>NIÑOS MENORES DE UN AÑO  ( 6 A 11 MESES) CON  SUPLEMENTO DE VITAMINA A</v>
      </c>
      <c r="W126" s="18"/>
      <c r="X126" s="18"/>
      <c r="Y126" s="18"/>
      <c r="Z126" s="158"/>
      <c r="AA126" s="18"/>
      <c r="AB126" s="18"/>
      <c r="AC126" s="18"/>
      <c r="AD126" s="18"/>
      <c r="AE126" s="18"/>
      <c r="AF126" s="18"/>
      <c r="AG126" s="149"/>
      <c r="AH126" s="48"/>
      <c r="AI126" s="48"/>
      <c r="AJ126" s="48"/>
      <c r="AL126" s="48" t="str">
        <f t="shared" ref="AL126:AL136" si="81">A126</f>
        <v>NIÑOS MENORES DE UN AÑO  ( 6 A 11 MESES) CON  SUPLEMENTO DE VITAMINA A</v>
      </c>
      <c r="AM126" s="48"/>
      <c r="AN126" s="48"/>
      <c r="AO126" s="48"/>
      <c r="AP126" s="4"/>
      <c r="AQ126" s="48"/>
    </row>
    <row r="127" spans="1:43" s="159" customFormat="1" ht="48" customHeight="1" thickBot="1" x14ac:dyDescent="0.3">
      <c r="A127" s="107" t="s">
        <v>2</v>
      </c>
      <c r="B127" s="108" t="s">
        <v>275</v>
      </c>
      <c r="C127" s="109" t="s">
        <v>192</v>
      </c>
      <c r="D127" s="108" t="s">
        <v>283</v>
      </c>
      <c r="E127" s="108" t="s">
        <v>1</v>
      </c>
      <c r="F127" s="110"/>
      <c r="G127" s="111" t="s">
        <v>121</v>
      </c>
      <c r="H127" s="112" t="str">
        <f>"DEFICIENTE &lt; = "&amp;$H$3</f>
        <v>DEFICIENTE &lt; = 90</v>
      </c>
      <c r="I127" s="112" t="str">
        <f>"PROCESO &gt; "&amp;$H$3&amp;"  -  &lt; "&amp;$I$3</f>
        <v>PROCESO &gt; 90  -  &lt; 100</v>
      </c>
      <c r="J127" s="112" t="str">
        <f>"OPTIMO &gt; = "&amp;$I$3</f>
        <v>OPTIMO &gt; = 100</v>
      </c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158"/>
      <c r="V127" s="137" t="str">
        <f>$V$1&amp;"  "&amp;V126&amp;"  "&amp;$V$3&amp;"  "&amp;$V$2</f>
        <v>RED. MOYOBAMBA:  NIÑOS MENORES DE UN AÑO  ( 6 A 11 MESES) CON  SUPLEMENTO DE VITAMINA A  - POR MICROREDES :   ENERO - MAYO 2022</v>
      </c>
      <c r="W127" s="18"/>
      <c r="X127" s="18"/>
      <c r="Y127" s="18"/>
      <c r="Z127" s="158"/>
      <c r="AA127" s="18"/>
      <c r="AB127" s="18"/>
      <c r="AC127" s="18"/>
      <c r="AD127" s="18"/>
      <c r="AE127" s="18"/>
      <c r="AF127" s="18"/>
      <c r="AG127" s="149"/>
      <c r="AH127" s="48"/>
      <c r="AI127" s="48"/>
      <c r="AJ127" s="48"/>
      <c r="AL127" s="113" t="str">
        <f t="shared" si="81"/>
        <v>ESTABLECIMIENTOS</v>
      </c>
      <c r="AM127" s="114"/>
      <c r="AN127" s="115" t="s">
        <v>222</v>
      </c>
      <c r="AO127" s="116" t="str">
        <f t="shared" ref="AO127:AO136" si="82">D127</f>
        <v>6 - 11 M Vitamina A</v>
      </c>
      <c r="AP127" s="116" t="str">
        <f t="shared" ref="AP127:AP136" si="83">G127</f>
        <v>%</v>
      </c>
      <c r="AQ127" s="117"/>
    </row>
    <row r="128" spans="1:43" s="159" customFormat="1" ht="18" customHeight="1" thickBot="1" x14ac:dyDescent="0.3">
      <c r="A128" s="118" t="str">
        <f>Config!$B$15</f>
        <v>RED</v>
      </c>
      <c r="B128" s="119">
        <f>SUM(B129:B137)</f>
        <v>737.1</v>
      </c>
      <c r="C128" s="119">
        <f>SUM(C129:C137)</f>
        <v>312</v>
      </c>
      <c r="D128" s="119">
        <f>SUM(D129:D137)</f>
        <v>557</v>
      </c>
      <c r="E128" s="119">
        <f>Config!$D$9</f>
        <v>100</v>
      </c>
      <c r="F128" s="120"/>
      <c r="G128" s="119">
        <f>IFERROR(ROUND(D128*100/C128,1),0)</f>
        <v>178.5</v>
      </c>
      <c r="H128" s="121" t="str">
        <f t="shared" ref="H128:H137" si="84">IF(G128&lt;=$H$3,G128,"")</f>
        <v/>
      </c>
      <c r="I128" s="121" t="str">
        <f t="shared" ref="I128:I137" si="85">IF(G128&gt;$H$3,IF(G128&lt;$I$3,G128,""),"")</f>
        <v/>
      </c>
      <c r="J128" s="119">
        <f t="shared" ref="J128:J137" si="86">IF(G128&gt;=$I$3,G128,"")</f>
        <v>178.5</v>
      </c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158"/>
      <c r="W128" s="18"/>
      <c r="X128" s="18"/>
      <c r="Y128" s="18"/>
      <c r="Z128" s="158"/>
      <c r="AA128" s="18"/>
      <c r="AB128" s="18"/>
      <c r="AC128" s="18"/>
      <c r="AD128" s="18"/>
      <c r="AE128" s="18"/>
      <c r="AF128" s="18"/>
      <c r="AG128" s="149"/>
      <c r="AH128" s="48"/>
      <c r="AI128" s="48"/>
      <c r="AJ128" s="48"/>
      <c r="AL128" s="123" t="str">
        <f t="shared" si="81"/>
        <v>RED</v>
      </c>
      <c r="AM128" s="124"/>
      <c r="AN128" s="125">
        <f t="shared" ref="AN128:AN136" si="87">C128</f>
        <v>312</v>
      </c>
      <c r="AO128" s="124">
        <f t="shared" si="82"/>
        <v>557</v>
      </c>
      <c r="AP128" s="125">
        <f t="shared" si="83"/>
        <v>178.5</v>
      </c>
      <c r="AQ128" s="125"/>
    </row>
    <row r="129" spans="1:43" s="159" customFormat="1" ht="18" hidden="1" customHeight="1" x14ac:dyDescent="0.25">
      <c r="A129" s="132" t="str">
        <f>Config!$B$16</f>
        <v>HOSP</v>
      </c>
      <c r="B129" s="127">
        <f>METAS!$AR$108</f>
        <v>0</v>
      </c>
      <c r="C129" s="127">
        <f>ROUNDUP((B129/12)*Config!$C$6,0)</f>
        <v>0</v>
      </c>
      <c r="D129" s="127">
        <f>ACUMULADO!$AT$21</f>
        <v>0</v>
      </c>
      <c r="E129" s="190">
        <f>E128</f>
        <v>100</v>
      </c>
      <c r="F129" s="138"/>
      <c r="G129" s="133">
        <f>IFERROR(ROUND(D129*100/C129,1),0)</f>
        <v>0</v>
      </c>
      <c r="H129" s="134">
        <f t="shared" si="84"/>
        <v>0</v>
      </c>
      <c r="I129" s="134" t="str">
        <f t="shared" si="85"/>
        <v/>
      </c>
      <c r="J129" s="135" t="str">
        <f t="shared" si="86"/>
        <v/>
      </c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158"/>
      <c r="V129" s="98"/>
      <c r="W129" s="18"/>
      <c r="X129" s="18"/>
      <c r="Y129" s="18"/>
      <c r="Z129" s="158"/>
      <c r="AA129" s="18"/>
      <c r="AB129" s="18"/>
      <c r="AC129" s="18"/>
      <c r="AD129" s="18"/>
      <c r="AE129" s="18"/>
      <c r="AF129" s="18"/>
      <c r="AG129" s="149"/>
      <c r="AH129" s="48"/>
      <c r="AI129" s="48"/>
      <c r="AJ129" s="48"/>
      <c r="AL129" s="49" t="str">
        <f t="shared" si="81"/>
        <v>HOSP</v>
      </c>
      <c r="AM129" s="50"/>
      <c r="AN129" s="51">
        <f t="shared" si="87"/>
        <v>0</v>
      </c>
      <c r="AO129" s="50">
        <f t="shared" si="82"/>
        <v>0</v>
      </c>
      <c r="AP129" s="183">
        <f t="shared" si="83"/>
        <v>0</v>
      </c>
      <c r="AQ129" s="147"/>
    </row>
    <row r="130" spans="1:43" s="159" customFormat="1" ht="18" customHeight="1" x14ac:dyDescent="0.25">
      <c r="A130" s="132" t="str">
        <f>Config!$B$17</f>
        <v>LLUI</v>
      </c>
      <c r="B130" s="127">
        <f>METAS!$AS$108</f>
        <v>305.09999999999997</v>
      </c>
      <c r="C130" s="99">
        <f>ROUNDUP((B130/12)*Config!$C$6,0)</f>
        <v>128</v>
      </c>
      <c r="D130" s="127">
        <f>ACUMULADO!$AU$21</f>
        <v>276</v>
      </c>
      <c r="E130" s="190">
        <f t="shared" ref="E130:E137" si="88">E129</f>
        <v>100</v>
      </c>
      <c r="F130" s="138"/>
      <c r="G130" s="133">
        <f>IFERROR(ROUND(D130*100/C130,1),0)</f>
        <v>215.6</v>
      </c>
      <c r="H130" s="134" t="str">
        <f t="shared" si="84"/>
        <v/>
      </c>
      <c r="I130" s="134" t="str">
        <f t="shared" si="85"/>
        <v/>
      </c>
      <c r="J130" s="135">
        <f t="shared" si="86"/>
        <v>215.6</v>
      </c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158"/>
      <c r="V130" s="98"/>
      <c r="W130" s="18"/>
      <c r="X130" s="18"/>
      <c r="Y130" s="18"/>
      <c r="Z130" s="158"/>
      <c r="AA130" s="18"/>
      <c r="AB130" s="18"/>
      <c r="AC130" s="18"/>
      <c r="AD130" s="18"/>
      <c r="AE130" s="18"/>
      <c r="AF130" s="18"/>
      <c r="AG130" s="149"/>
      <c r="AH130" s="48"/>
      <c r="AI130" s="48"/>
      <c r="AJ130" s="48"/>
      <c r="AL130" s="49" t="str">
        <f t="shared" si="81"/>
        <v>LLUI</v>
      </c>
      <c r="AM130" s="50"/>
      <c r="AN130" s="51">
        <f t="shared" si="87"/>
        <v>128</v>
      </c>
      <c r="AO130" s="50">
        <f t="shared" si="82"/>
        <v>276</v>
      </c>
      <c r="AP130" s="183">
        <f t="shared" si="83"/>
        <v>215.6</v>
      </c>
      <c r="AQ130" s="147"/>
    </row>
    <row r="131" spans="1:43" s="159" customFormat="1" ht="18" customHeight="1" x14ac:dyDescent="0.25">
      <c r="A131" s="132" t="str">
        <f>Config!$B$18</f>
        <v>JERI</v>
      </c>
      <c r="B131" s="127">
        <f>METAS!$AT$108</f>
        <v>27.9</v>
      </c>
      <c r="C131" s="99">
        <f>ROUNDUP((B131/12)*Config!$C$6,0)</f>
        <v>12</v>
      </c>
      <c r="D131" s="127">
        <f>ACUMULADO!$AV$21</f>
        <v>13</v>
      </c>
      <c r="E131" s="190">
        <f t="shared" si="88"/>
        <v>100</v>
      </c>
      <c r="F131" s="138"/>
      <c r="G131" s="133">
        <f t="shared" ref="G131" si="89">IFERROR(ROUND(D131*100/C131,1),0)</f>
        <v>108.3</v>
      </c>
      <c r="H131" s="134" t="str">
        <f t="shared" si="84"/>
        <v/>
      </c>
      <c r="I131" s="134" t="str">
        <f t="shared" si="85"/>
        <v/>
      </c>
      <c r="J131" s="135">
        <f t="shared" si="86"/>
        <v>108.3</v>
      </c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158"/>
      <c r="V131" s="94"/>
      <c r="W131" s="18"/>
      <c r="X131" s="18"/>
      <c r="Y131" s="18"/>
      <c r="Z131" s="158"/>
      <c r="AA131" s="18"/>
      <c r="AB131" s="18"/>
      <c r="AC131" s="18"/>
      <c r="AD131" s="18"/>
      <c r="AE131" s="18"/>
      <c r="AF131" s="18"/>
      <c r="AG131" s="149"/>
      <c r="AH131" s="48"/>
      <c r="AI131" s="48"/>
      <c r="AJ131" s="48"/>
      <c r="AL131" s="49" t="str">
        <f t="shared" si="81"/>
        <v>JERI</v>
      </c>
      <c r="AM131" s="50"/>
      <c r="AN131" s="51">
        <f t="shared" si="87"/>
        <v>12</v>
      </c>
      <c r="AO131" s="50">
        <f t="shared" si="82"/>
        <v>13</v>
      </c>
      <c r="AP131" s="183">
        <f t="shared" si="83"/>
        <v>108.3</v>
      </c>
      <c r="AQ131" s="147"/>
    </row>
    <row r="132" spans="1:43" s="159" customFormat="1" ht="18" customHeight="1" x14ac:dyDescent="0.25">
      <c r="A132" s="132" t="str">
        <f>Config!$B$19</f>
        <v>YANT</v>
      </c>
      <c r="B132" s="127">
        <f>METAS!$AU$108</f>
        <v>58.8</v>
      </c>
      <c r="C132" s="99">
        <f>ROUNDUP((B132/12)*Config!$C$6,0)</f>
        <v>25</v>
      </c>
      <c r="D132" s="127">
        <f>ACUMULADO!$AW$21</f>
        <v>36</v>
      </c>
      <c r="E132" s="190">
        <f t="shared" si="88"/>
        <v>100</v>
      </c>
      <c r="F132" s="138"/>
      <c r="G132" s="133">
        <f>IFERROR(ROUND(D132*100/C132,1),0)</f>
        <v>144</v>
      </c>
      <c r="H132" s="134" t="str">
        <f t="shared" si="84"/>
        <v/>
      </c>
      <c r="I132" s="134" t="str">
        <f t="shared" si="85"/>
        <v/>
      </c>
      <c r="J132" s="135">
        <f t="shared" si="86"/>
        <v>144</v>
      </c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158"/>
      <c r="V132" s="94"/>
      <c r="W132" s="18"/>
      <c r="X132" s="18"/>
      <c r="Y132" s="18"/>
      <c r="Z132" s="158"/>
      <c r="AA132" s="18"/>
      <c r="AB132" s="18"/>
      <c r="AC132" s="18"/>
      <c r="AD132" s="18"/>
      <c r="AE132" s="18"/>
      <c r="AF132" s="18"/>
      <c r="AG132" s="149"/>
      <c r="AH132" s="48"/>
      <c r="AI132" s="48"/>
      <c r="AJ132" s="48"/>
      <c r="AL132" s="49" t="str">
        <f t="shared" si="81"/>
        <v>YANT</v>
      </c>
      <c r="AM132" s="50"/>
      <c r="AN132" s="51">
        <f t="shared" si="87"/>
        <v>25</v>
      </c>
      <c r="AO132" s="50">
        <f t="shared" si="82"/>
        <v>36</v>
      </c>
      <c r="AP132" s="183">
        <f t="shared" si="83"/>
        <v>144</v>
      </c>
      <c r="AQ132" s="147"/>
    </row>
    <row r="133" spans="1:43" s="159" customFormat="1" ht="18" customHeight="1" x14ac:dyDescent="0.25">
      <c r="A133" s="132" t="str">
        <f>Config!$B$20</f>
        <v>SORI</v>
      </c>
      <c r="B133" s="127">
        <f>METAS!$AV$108</f>
        <v>144.30000000000001</v>
      </c>
      <c r="C133" s="99">
        <f>ROUNDUP((B133/12)*Config!$C$6,0)</f>
        <v>61</v>
      </c>
      <c r="D133" s="127">
        <f>ACUMULADO!$AX$21</f>
        <v>0</v>
      </c>
      <c r="E133" s="190">
        <f t="shared" si="88"/>
        <v>100</v>
      </c>
      <c r="F133" s="138"/>
      <c r="G133" s="133">
        <f t="shared" ref="G133" si="90">IFERROR(ROUND(D133*100/C133,1),0)</f>
        <v>0</v>
      </c>
      <c r="H133" s="134">
        <f t="shared" si="84"/>
        <v>0</v>
      </c>
      <c r="I133" s="134" t="str">
        <f t="shared" si="85"/>
        <v/>
      </c>
      <c r="J133" s="135" t="str">
        <f t="shared" si="86"/>
        <v/>
      </c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158"/>
      <c r="V133" s="94"/>
      <c r="W133" s="18"/>
      <c r="X133" s="18"/>
      <c r="Y133" s="18"/>
      <c r="Z133" s="158"/>
      <c r="AA133" s="18"/>
      <c r="AB133" s="18"/>
      <c r="AC133" s="18"/>
      <c r="AD133" s="18"/>
      <c r="AE133" s="18"/>
      <c r="AF133" s="18"/>
      <c r="AG133" s="149"/>
      <c r="AH133" s="48"/>
      <c r="AI133" s="48"/>
      <c r="AJ133" s="48"/>
      <c r="AL133" s="49" t="str">
        <f t="shared" si="81"/>
        <v>SORI</v>
      </c>
      <c r="AM133" s="50"/>
      <c r="AN133" s="51">
        <f t="shared" si="87"/>
        <v>61</v>
      </c>
      <c r="AO133" s="50">
        <f t="shared" si="82"/>
        <v>0</v>
      </c>
      <c r="AP133" s="183">
        <f t="shared" si="83"/>
        <v>0</v>
      </c>
      <c r="AQ133" s="147"/>
    </row>
    <row r="134" spans="1:43" s="159" customFormat="1" ht="18" customHeight="1" x14ac:dyDescent="0.25">
      <c r="A134" s="132" t="str">
        <f>Config!$B$21</f>
        <v>JEPE</v>
      </c>
      <c r="B134" s="127">
        <f>METAS!$AW$108</f>
        <v>53.699999999999996</v>
      </c>
      <c r="C134" s="99">
        <f>ROUNDUP((B134/12)*Config!$C$6,0)</f>
        <v>23</v>
      </c>
      <c r="D134" s="127">
        <f>ACUMULADO!$AY$21</f>
        <v>88</v>
      </c>
      <c r="E134" s="190">
        <f t="shared" si="88"/>
        <v>100</v>
      </c>
      <c r="F134" s="138"/>
      <c r="G134" s="133">
        <f>IFERROR(ROUND(D134*100/C134,1),0)</f>
        <v>382.6</v>
      </c>
      <c r="H134" s="134" t="str">
        <f t="shared" si="84"/>
        <v/>
      </c>
      <c r="I134" s="134" t="str">
        <f t="shared" si="85"/>
        <v/>
      </c>
      <c r="J134" s="135">
        <f t="shared" si="86"/>
        <v>382.6</v>
      </c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158"/>
      <c r="V134" s="94"/>
      <c r="W134" s="18"/>
      <c r="X134" s="18"/>
      <c r="Y134" s="18"/>
      <c r="Z134" s="158"/>
      <c r="AA134" s="18"/>
      <c r="AB134" s="18"/>
      <c r="AC134" s="18"/>
      <c r="AD134" s="18"/>
      <c r="AE134" s="18"/>
      <c r="AF134" s="18"/>
      <c r="AG134" s="149"/>
      <c r="AH134" s="48"/>
      <c r="AI134" s="48"/>
      <c r="AJ134" s="48"/>
      <c r="AL134" s="49" t="str">
        <f>A134</f>
        <v>JEPE</v>
      </c>
      <c r="AM134" s="50"/>
      <c r="AN134" s="51">
        <f>C134</f>
        <v>23</v>
      </c>
      <c r="AO134" s="50">
        <f>D134</f>
        <v>88</v>
      </c>
      <c r="AP134" s="183">
        <f>G134</f>
        <v>382.6</v>
      </c>
      <c r="AQ134" s="147"/>
    </row>
    <row r="135" spans="1:43" s="159" customFormat="1" ht="18" customHeight="1" x14ac:dyDescent="0.25">
      <c r="A135" s="132" t="str">
        <f>Config!$B$22</f>
        <v>ROQU</v>
      </c>
      <c r="B135" s="127">
        <f>METAS!$AX$108</f>
        <v>55.5</v>
      </c>
      <c r="C135" s="99">
        <f>ROUNDUP((B135/12)*Config!$C$6,0)</f>
        <v>24</v>
      </c>
      <c r="D135" s="127">
        <f>ACUMULADO!$AZ$21</f>
        <v>55</v>
      </c>
      <c r="E135" s="190">
        <f t="shared" si="88"/>
        <v>100</v>
      </c>
      <c r="F135" s="138"/>
      <c r="G135" s="133">
        <f>IFERROR(ROUND(D135*100/C135,1),0)</f>
        <v>229.2</v>
      </c>
      <c r="H135" s="134" t="str">
        <f t="shared" si="84"/>
        <v/>
      </c>
      <c r="I135" s="134" t="str">
        <f t="shared" si="85"/>
        <v/>
      </c>
      <c r="J135" s="135">
        <f t="shared" si="86"/>
        <v>229.2</v>
      </c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158"/>
      <c r="W135" s="18"/>
      <c r="X135" s="18"/>
      <c r="Y135" s="18"/>
      <c r="Z135" s="158"/>
      <c r="AA135" s="18"/>
      <c r="AB135" s="18"/>
      <c r="AC135" s="18"/>
      <c r="AD135" s="18"/>
      <c r="AE135" s="18"/>
      <c r="AF135" s="18"/>
      <c r="AG135" s="149"/>
      <c r="AH135" s="48"/>
      <c r="AI135" s="48"/>
      <c r="AJ135" s="48"/>
      <c r="AL135" s="49" t="str">
        <f>A135</f>
        <v>ROQU</v>
      </c>
      <c r="AM135" s="50"/>
      <c r="AN135" s="51">
        <f>C135</f>
        <v>24</v>
      </c>
      <c r="AO135" s="50">
        <f>D135</f>
        <v>55</v>
      </c>
      <c r="AP135" s="183">
        <f>G135</f>
        <v>229.2</v>
      </c>
      <c r="AQ135" s="147"/>
    </row>
    <row r="136" spans="1:43" s="159" customFormat="1" ht="18" customHeight="1" x14ac:dyDescent="0.25">
      <c r="A136" s="132" t="str">
        <f>Config!$B$23</f>
        <v>CALZ</v>
      </c>
      <c r="B136" s="127">
        <f>METAS!$AY$108</f>
        <v>43.2</v>
      </c>
      <c r="C136" s="99">
        <f>ROUNDUP((B136/12)*Config!$C$6,0)</f>
        <v>18</v>
      </c>
      <c r="D136" s="127">
        <f>ACUMULADO!$BA$21</f>
        <v>53</v>
      </c>
      <c r="E136" s="190">
        <f t="shared" si="88"/>
        <v>100</v>
      </c>
      <c r="F136" s="138"/>
      <c r="G136" s="133">
        <f t="shared" ref="G136:G137" si="91">IFERROR(ROUND(D136*100/C136,1),0)</f>
        <v>294.39999999999998</v>
      </c>
      <c r="H136" s="134" t="str">
        <f t="shared" si="84"/>
        <v/>
      </c>
      <c r="I136" s="134" t="str">
        <f t="shared" si="85"/>
        <v/>
      </c>
      <c r="J136" s="135">
        <f t="shared" si="86"/>
        <v>294.39999999999998</v>
      </c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158"/>
      <c r="V136" s="94"/>
      <c r="W136" s="18"/>
      <c r="X136" s="18"/>
      <c r="Y136" s="18"/>
      <c r="Z136" s="158"/>
      <c r="AA136" s="18"/>
      <c r="AB136" s="18"/>
      <c r="AC136" s="18"/>
      <c r="AD136" s="18"/>
      <c r="AE136" s="18"/>
      <c r="AF136" s="18"/>
      <c r="AG136" s="149"/>
      <c r="AH136" s="48"/>
      <c r="AI136" s="48"/>
      <c r="AJ136" s="48"/>
      <c r="AL136" s="49" t="str">
        <f t="shared" si="81"/>
        <v>CALZ</v>
      </c>
      <c r="AM136" s="50"/>
      <c r="AN136" s="51">
        <f t="shared" si="87"/>
        <v>18</v>
      </c>
      <c r="AO136" s="50">
        <f t="shared" si="82"/>
        <v>53</v>
      </c>
      <c r="AP136" s="183">
        <f t="shared" si="83"/>
        <v>294.39999999999998</v>
      </c>
      <c r="AQ136" s="147"/>
    </row>
    <row r="137" spans="1:43" s="159" customFormat="1" ht="18" customHeight="1" x14ac:dyDescent="0.25">
      <c r="A137" s="132" t="str">
        <f>Config!$B$24</f>
        <v>PUEB</v>
      </c>
      <c r="B137" s="127">
        <f>METAS!$AZ$108</f>
        <v>48.6</v>
      </c>
      <c r="C137" s="99">
        <f>ROUNDUP((B137/12)*Config!$C$6,0)</f>
        <v>21</v>
      </c>
      <c r="D137" s="127">
        <f>ACUMULADO!$BB$21</f>
        <v>36</v>
      </c>
      <c r="E137" s="190">
        <f t="shared" si="88"/>
        <v>100</v>
      </c>
      <c r="F137" s="138"/>
      <c r="G137" s="133">
        <f t="shared" si="91"/>
        <v>171.4</v>
      </c>
      <c r="H137" s="134" t="str">
        <f t="shared" si="84"/>
        <v/>
      </c>
      <c r="I137" s="134" t="str">
        <f t="shared" si="85"/>
        <v/>
      </c>
      <c r="J137" s="135">
        <f t="shared" si="86"/>
        <v>171.4</v>
      </c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158"/>
      <c r="W137" s="18"/>
      <c r="X137" s="18"/>
      <c r="Y137" s="18"/>
      <c r="Z137" s="158"/>
      <c r="AA137" s="18"/>
      <c r="AB137" s="18"/>
      <c r="AC137" s="18"/>
      <c r="AD137" s="18"/>
      <c r="AE137" s="18"/>
      <c r="AF137" s="18"/>
      <c r="AG137" s="149"/>
      <c r="AH137" s="48"/>
      <c r="AI137" s="48"/>
      <c r="AJ137" s="48"/>
      <c r="AL137" s="49" t="str">
        <f>A137</f>
        <v>PUEB</v>
      </c>
      <c r="AM137" s="50"/>
      <c r="AN137" s="51">
        <f>C137</f>
        <v>21</v>
      </c>
      <c r="AO137" s="50">
        <f>D137</f>
        <v>36</v>
      </c>
      <c r="AP137" s="183">
        <f>G137</f>
        <v>171.4</v>
      </c>
      <c r="AQ137" s="147"/>
    </row>
    <row r="138" spans="1:43" s="159" customFormat="1" ht="18" customHeight="1" x14ac:dyDescent="0.25">
      <c r="A138" s="163"/>
      <c r="H138" s="48"/>
      <c r="I138" s="48"/>
      <c r="J138" s="48"/>
      <c r="K138" s="105"/>
      <c r="L138" s="48"/>
      <c r="M138" s="48"/>
      <c r="N138" s="48"/>
      <c r="O138" s="48"/>
      <c r="P138" s="48"/>
      <c r="Q138" s="48"/>
      <c r="R138" s="48"/>
      <c r="S138" s="48"/>
      <c r="T138" s="48"/>
      <c r="U138" s="158"/>
      <c r="V138" s="94"/>
      <c r="W138" s="18"/>
      <c r="X138" s="18"/>
      <c r="Y138" s="18"/>
      <c r="Z138" s="158"/>
      <c r="AA138" s="18"/>
      <c r="AB138" s="18"/>
      <c r="AC138" s="18"/>
      <c r="AD138" s="18"/>
      <c r="AE138" s="18"/>
      <c r="AF138" s="18"/>
      <c r="AG138" s="149"/>
      <c r="AH138" s="48"/>
      <c r="AI138" s="48"/>
      <c r="AJ138" s="48"/>
      <c r="AO138" s="48"/>
      <c r="AP138" s="4"/>
    </row>
    <row r="139" spans="1:43" s="159" customFormat="1" ht="18" customHeight="1" x14ac:dyDescent="0.25">
      <c r="A139" s="163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158"/>
      <c r="V139" s="94"/>
      <c r="W139" s="18"/>
      <c r="X139" s="18"/>
      <c r="Y139" s="18"/>
      <c r="Z139" s="158"/>
      <c r="AA139" s="18"/>
      <c r="AB139" s="18"/>
      <c r="AC139" s="18"/>
      <c r="AD139" s="18"/>
      <c r="AE139" s="18"/>
      <c r="AF139" s="18"/>
      <c r="AG139" s="149"/>
      <c r="AH139" s="48"/>
      <c r="AI139" s="48"/>
      <c r="AJ139" s="48"/>
      <c r="AO139" s="48"/>
      <c r="AP139" s="4"/>
    </row>
    <row r="140" spans="1:43" s="159" customFormat="1" ht="18" customHeight="1" x14ac:dyDescent="0.25">
      <c r="A140" s="163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158"/>
      <c r="V140" s="94"/>
      <c r="W140" s="18"/>
      <c r="X140" s="18"/>
      <c r="Y140" s="18"/>
      <c r="Z140" s="158"/>
      <c r="AA140" s="18"/>
      <c r="AB140" s="18"/>
      <c r="AC140" s="18"/>
      <c r="AD140" s="18"/>
      <c r="AE140" s="18"/>
      <c r="AF140" s="18"/>
      <c r="AG140" s="149"/>
      <c r="AH140" s="48"/>
      <c r="AI140" s="48"/>
      <c r="AJ140" s="48"/>
      <c r="AO140" s="48"/>
      <c r="AP140" s="4"/>
    </row>
    <row r="141" spans="1:43" s="159" customFormat="1" ht="18" customHeight="1" x14ac:dyDescent="0.25">
      <c r="A141" s="163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158"/>
      <c r="V141" s="94"/>
      <c r="W141" s="18"/>
      <c r="X141" s="18"/>
      <c r="Y141" s="18"/>
      <c r="Z141" s="158"/>
      <c r="AA141" s="18"/>
      <c r="AB141" s="18"/>
      <c r="AC141" s="18"/>
      <c r="AD141" s="18"/>
      <c r="AE141" s="18"/>
      <c r="AF141" s="18"/>
      <c r="AG141" s="149"/>
      <c r="AH141" s="48"/>
      <c r="AI141" s="48"/>
      <c r="AJ141" s="48"/>
      <c r="AO141" s="48"/>
      <c r="AP141" s="4"/>
    </row>
    <row r="142" spans="1:43" s="159" customFormat="1" ht="18" customHeight="1" x14ac:dyDescent="0.25">
      <c r="A142" s="5"/>
      <c r="B142" s="48"/>
      <c r="C142" s="101"/>
      <c r="D142" s="102"/>
      <c r="E142" s="102"/>
      <c r="F142" s="103"/>
      <c r="G142" s="103"/>
      <c r="H142" s="103"/>
      <c r="I142" s="186"/>
      <c r="J142" s="187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158"/>
      <c r="V142" s="94"/>
      <c r="W142" s="18"/>
      <c r="X142" s="18"/>
      <c r="Y142" s="18"/>
      <c r="Z142" s="158"/>
      <c r="AA142" s="18"/>
      <c r="AB142" s="18"/>
      <c r="AC142" s="18"/>
      <c r="AD142" s="18"/>
      <c r="AE142" s="18"/>
      <c r="AF142" s="18"/>
      <c r="AG142" s="149"/>
      <c r="AH142" s="48"/>
      <c r="AI142" s="48"/>
      <c r="AJ142" s="48"/>
      <c r="AO142" s="48"/>
      <c r="AP142" s="4"/>
    </row>
    <row r="143" spans="1:43" s="159" customFormat="1" ht="18" customHeight="1" x14ac:dyDescent="0.25">
      <c r="A143" s="5"/>
      <c r="B143" s="48"/>
      <c r="C143" s="101"/>
      <c r="D143" s="102"/>
      <c r="E143" s="102"/>
      <c r="F143" s="103"/>
      <c r="G143" s="103"/>
      <c r="H143" s="103"/>
      <c r="I143" s="186"/>
      <c r="J143" s="187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158"/>
      <c r="V143" s="94"/>
      <c r="W143" s="18"/>
      <c r="X143" s="18"/>
      <c r="Y143" s="18"/>
      <c r="Z143" s="158"/>
      <c r="AA143" s="18"/>
      <c r="AB143" s="18"/>
      <c r="AC143" s="18"/>
      <c r="AD143" s="18"/>
      <c r="AE143" s="18"/>
      <c r="AF143" s="18"/>
      <c r="AG143" s="149"/>
      <c r="AH143" s="48"/>
      <c r="AI143" s="48"/>
      <c r="AJ143" s="48"/>
      <c r="AO143" s="48"/>
      <c r="AP143" s="4"/>
    </row>
    <row r="144" spans="1:43" s="159" customFormat="1" ht="18" customHeight="1" x14ac:dyDescent="0.25">
      <c r="A144" s="5"/>
      <c r="B144" s="48"/>
      <c r="C144" s="101"/>
      <c r="D144" s="102"/>
      <c r="E144" s="102"/>
      <c r="F144" s="103"/>
      <c r="G144" s="103"/>
      <c r="H144" s="103"/>
      <c r="I144" s="186"/>
      <c r="J144" s="187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158"/>
      <c r="V144" s="94"/>
      <c r="W144" s="18"/>
      <c r="X144" s="18"/>
      <c r="Y144" s="18"/>
      <c r="Z144" s="158"/>
      <c r="AA144" s="18"/>
      <c r="AB144" s="18"/>
      <c r="AC144" s="18"/>
      <c r="AD144" s="18"/>
      <c r="AE144" s="18"/>
      <c r="AF144" s="18"/>
      <c r="AG144" s="149"/>
      <c r="AH144" s="48"/>
      <c r="AI144" s="48"/>
      <c r="AJ144" s="48"/>
      <c r="AO144" s="48"/>
      <c r="AP144" s="4"/>
    </row>
    <row r="145" spans="1:43" s="159" customFormat="1" ht="18" customHeight="1" x14ac:dyDescent="0.25">
      <c r="A145" s="5" t="str">
        <f>METAS!$B$109</f>
        <v xml:space="preserve">NIÑOS  DE 12 A 59 MESES CON  SUPLEMENTO DE VITAMINA A  </v>
      </c>
      <c r="B145" s="48"/>
      <c r="C145" s="101"/>
      <c r="D145" s="102"/>
      <c r="E145" s="102"/>
      <c r="F145" s="103"/>
      <c r="G145" s="103"/>
      <c r="H145" s="103"/>
      <c r="I145" s="189"/>
      <c r="J145" s="187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158"/>
      <c r="W145" s="18"/>
      <c r="X145" s="18"/>
      <c r="Y145" s="18"/>
      <c r="Z145" s="158"/>
      <c r="AA145" s="18"/>
      <c r="AB145" s="18"/>
      <c r="AC145" s="18"/>
      <c r="AD145" s="18"/>
      <c r="AE145" s="18"/>
      <c r="AF145" s="18"/>
      <c r="AG145" s="149"/>
      <c r="AH145" s="48"/>
      <c r="AI145" s="48"/>
      <c r="AJ145" s="48"/>
      <c r="AL145" s="48" t="str">
        <f t="shared" ref="AL145:AL155" si="92">A145</f>
        <v xml:space="preserve">NIÑOS  DE 12 A 59 MESES CON  SUPLEMENTO DE VITAMINA A  </v>
      </c>
      <c r="AM145" s="48"/>
      <c r="AN145" s="48"/>
      <c r="AO145" s="48"/>
      <c r="AP145" s="4"/>
      <c r="AQ145" s="48"/>
    </row>
    <row r="146" spans="1:43" s="159" customFormat="1" ht="48" customHeight="1" thickBot="1" x14ac:dyDescent="0.3">
      <c r="A146" s="107" t="s">
        <v>2</v>
      </c>
      <c r="B146" s="108" t="s">
        <v>275</v>
      </c>
      <c r="C146" s="109" t="s">
        <v>192</v>
      </c>
      <c r="D146" s="108" t="s">
        <v>282</v>
      </c>
      <c r="E146" s="108" t="s">
        <v>1</v>
      </c>
      <c r="F146" s="110"/>
      <c r="G146" s="111" t="s">
        <v>121</v>
      </c>
      <c r="H146" s="112" t="str">
        <f>"DEFICIENTE &lt; = "&amp;$H$3</f>
        <v>DEFICIENTE &lt; = 90</v>
      </c>
      <c r="I146" s="112" t="str">
        <f>"PROCESO &gt; "&amp;$H$3&amp;"  -  &lt; "&amp;$I$3</f>
        <v>PROCESO &gt; 90  -  &lt; 100</v>
      </c>
      <c r="J146" s="112" t="str">
        <f>"OPTIMO &gt; = "&amp;$I$3</f>
        <v>OPTIMO &gt; = 100</v>
      </c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158"/>
      <c r="V146" s="98" t="str">
        <f>A145</f>
        <v xml:space="preserve">NIÑOS  DE 12 A 59 MESES CON  SUPLEMENTO DE VITAMINA A  </v>
      </c>
      <c r="W146" s="18"/>
      <c r="X146" s="18"/>
      <c r="Y146" s="18"/>
      <c r="Z146" s="158"/>
      <c r="AA146" s="18"/>
      <c r="AB146" s="18"/>
      <c r="AC146" s="18"/>
      <c r="AD146" s="18"/>
      <c r="AE146" s="18"/>
      <c r="AF146" s="158"/>
      <c r="AG146" s="158"/>
      <c r="AH146" s="48"/>
      <c r="AI146" s="48"/>
      <c r="AJ146" s="48"/>
      <c r="AL146" s="113" t="str">
        <f t="shared" si="92"/>
        <v>ESTABLECIMIENTOS</v>
      </c>
      <c r="AM146" s="114" t="s">
        <v>230</v>
      </c>
      <c r="AN146" s="115" t="s">
        <v>231</v>
      </c>
      <c r="AO146" s="116" t="str">
        <f t="shared" ref="AO146:AO156" si="93">D146</f>
        <v>12 - 59 M Vitamina A</v>
      </c>
      <c r="AP146" s="116" t="str">
        <f t="shared" ref="AP146:AP155" si="94">G146</f>
        <v>%</v>
      </c>
      <c r="AQ146" s="117" t="s">
        <v>232</v>
      </c>
    </row>
    <row r="147" spans="1:43" s="159" customFormat="1" ht="18" customHeight="1" thickBot="1" x14ac:dyDescent="0.3">
      <c r="A147" s="118" t="str">
        <f>Config!$B$15</f>
        <v>RED</v>
      </c>
      <c r="B147" s="119">
        <f>SUM(B148:B156)</f>
        <v>3141.2999999999997</v>
      </c>
      <c r="C147" s="119">
        <f>SUM(C148:C156)</f>
        <v>1314</v>
      </c>
      <c r="D147" s="119">
        <f>SUM(D148:D156)</f>
        <v>1280</v>
      </c>
      <c r="E147" s="119">
        <f>Config!$D$9</f>
        <v>100</v>
      </c>
      <c r="F147" s="120"/>
      <c r="G147" s="119">
        <f>IFERROR(ROUND(D147*100/C147,1),0)</f>
        <v>97.4</v>
      </c>
      <c r="H147" s="121" t="str">
        <f t="shared" ref="H147:H156" si="95">IF(G147&lt;=$H$3,G147,"")</f>
        <v/>
      </c>
      <c r="I147" s="121">
        <f t="shared" ref="I147:I156" si="96">IF(G147&gt;$H$3,IF(G147&lt;$I$3,G147,""),"")</f>
        <v>97.4</v>
      </c>
      <c r="J147" s="119" t="str">
        <f t="shared" ref="J147:J156" si="97">IF(G147&gt;=$I$3,G147,"")</f>
        <v/>
      </c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158"/>
      <c r="V147" s="137" t="str">
        <f>$V$1&amp;"  "&amp;V146&amp;"  "&amp;$V$3&amp;"  "&amp;$V$2</f>
        <v>RED. MOYOBAMBA:  NIÑOS  DE 12 A 59 MESES CON  SUPLEMENTO DE VITAMINA A    - POR MICROREDES :   ENERO - MAYO 2022</v>
      </c>
      <c r="W147" s="18"/>
      <c r="X147" s="18"/>
      <c r="Y147" s="18"/>
      <c r="Z147" s="158"/>
      <c r="AA147" s="18"/>
      <c r="AB147" s="18"/>
      <c r="AC147" s="18"/>
      <c r="AD147" s="18"/>
      <c r="AE147" s="18"/>
      <c r="AF147" s="158"/>
      <c r="AG147" s="158"/>
      <c r="AH147" s="48"/>
      <c r="AI147" s="48"/>
      <c r="AJ147" s="48"/>
      <c r="AL147" s="123" t="str">
        <f t="shared" si="92"/>
        <v>RED</v>
      </c>
      <c r="AM147" s="124">
        <f>SUM(AM148:AM155)</f>
        <v>244.55</v>
      </c>
      <c r="AN147" s="125">
        <f t="shared" ref="AN147:AN155" si="98">C147</f>
        <v>1314</v>
      </c>
      <c r="AO147" s="124">
        <f t="shared" si="93"/>
        <v>1280</v>
      </c>
      <c r="AP147" s="125">
        <f t="shared" si="94"/>
        <v>97.4</v>
      </c>
      <c r="AQ147" s="125">
        <f>AN147-AP147</f>
        <v>1216.5999999999999</v>
      </c>
    </row>
    <row r="148" spans="1:43" s="159" customFormat="1" ht="18" hidden="1" customHeight="1" x14ac:dyDescent="0.25">
      <c r="A148" s="132" t="str">
        <f>Config!$B$16</f>
        <v>HOSP</v>
      </c>
      <c r="B148" s="127">
        <f>METAS!$AR$109</f>
        <v>0</v>
      </c>
      <c r="C148" s="127">
        <f>ROUNDUP((B148/12)*Config!$C$6,0)</f>
        <v>0</v>
      </c>
      <c r="D148" s="127">
        <f>ACUMULADO!$AT$22</f>
        <v>0</v>
      </c>
      <c r="E148" s="190">
        <f>E147</f>
        <v>100</v>
      </c>
      <c r="F148" s="138"/>
      <c r="G148" s="133">
        <f>IFERROR(ROUND(D148*100/C148,1),0)</f>
        <v>0</v>
      </c>
      <c r="H148" s="134">
        <f t="shared" si="95"/>
        <v>0</v>
      </c>
      <c r="I148" s="134" t="str">
        <f t="shared" si="96"/>
        <v/>
      </c>
      <c r="J148" s="135" t="str">
        <f t="shared" si="97"/>
        <v/>
      </c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158"/>
      <c r="W148" s="18"/>
      <c r="X148" s="18"/>
      <c r="Y148" s="18"/>
      <c r="Z148" s="158"/>
      <c r="AA148" s="18"/>
      <c r="AB148" s="18"/>
      <c r="AC148" s="18"/>
      <c r="AD148" s="18"/>
      <c r="AE148" s="18"/>
      <c r="AF148" s="158"/>
      <c r="AG148" s="158"/>
      <c r="AH148" s="48"/>
      <c r="AI148" s="48"/>
      <c r="AJ148" s="48"/>
      <c r="AL148" s="49" t="str">
        <f t="shared" si="92"/>
        <v>HOSP</v>
      </c>
      <c r="AM148" s="50">
        <f>IF(Config!$C$6&gt;=12,"0",(B148/12))</f>
        <v>0</v>
      </c>
      <c r="AN148" s="51">
        <f t="shared" si="98"/>
        <v>0</v>
      </c>
      <c r="AO148" s="51">
        <f t="shared" si="93"/>
        <v>0</v>
      </c>
      <c r="AP148" s="183">
        <f t="shared" si="94"/>
        <v>0</v>
      </c>
      <c r="AQ148" s="52">
        <f t="shared" ref="AQ148:AQ155" si="99">AN148-AO148</f>
        <v>0</v>
      </c>
    </row>
    <row r="149" spans="1:43" s="159" customFormat="1" ht="18" customHeight="1" x14ac:dyDescent="0.25">
      <c r="A149" s="132" t="str">
        <f>Config!$B$17</f>
        <v>LLUI</v>
      </c>
      <c r="B149" s="127">
        <f>METAS!$AS$109</f>
        <v>1304.0999999999999</v>
      </c>
      <c r="C149" s="99">
        <f>ROUNDUP((B149/12)*Config!$C$6,0)</f>
        <v>544</v>
      </c>
      <c r="D149" s="127">
        <f>ACUMULADO!$AU$22</f>
        <v>646</v>
      </c>
      <c r="E149" s="190">
        <f t="shared" ref="E149:E156" si="100">E148</f>
        <v>100</v>
      </c>
      <c r="F149" s="138"/>
      <c r="G149" s="133">
        <f>IFERROR(ROUND(D149*100/C149,1),0)</f>
        <v>118.8</v>
      </c>
      <c r="H149" s="134" t="str">
        <f t="shared" si="95"/>
        <v/>
      </c>
      <c r="I149" s="134" t="str">
        <f t="shared" si="96"/>
        <v/>
      </c>
      <c r="J149" s="135">
        <f t="shared" si="97"/>
        <v>118.8</v>
      </c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158"/>
      <c r="V149" s="98"/>
      <c r="W149" s="161"/>
      <c r="X149" s="161"/>
      <c r="Y149" s="18"/>
      <c r="Z149" s="158"/>
      <c r="AA149" s="18"/>
      <c r="AB149" s="18"/>
      <c r="AC149" s="18"/>
      <c r="AD149" s="18"/>
      <c r="AE149" s="18"/>
      <c r="AF149" s="158"/>
      <c r="AG149" s="158"/>
      <c r="AH149" s="48"/>
      <c r="AI149" s="48"/>
      <c r="AJ149" s="48"/>
      <c r="AL149" s="49" t="str">
        <f t="shared" si="92"/>
        <v>LLUI</v>
      </c>
      <c r="AM149" s="50">
        <f>IF(Config!$C$6&gt;=12,"0",(B149/12))</f>
        <v>108.675</v>
      </c>
      <c r="AN149" s="51">
        <f t="shared" si="98"/>
        <v>544</v>
      </c>
      <c r="AO149" s="51">
        <f t="shared" si="93"/>
        <v>646</v>
      </c>
      <c r="AP149" s="183">
        <f t="shared" si="94"/>
        <v>118.8</v>
      </c>
      <c r="AQ149" s="52">
        <f t="shared" si="99"/>
        <v>-102</v>
      </c>
    </row>
    <row r="150" spans="1:43" s="159" customFormat="1" ht="18" customHeight="1" x14ac:dyDescent="0.25">
      <c r="A150" s="132" t="str">
        <f>Config!$B$18</f>
        <v>JERI</v>
      </c>
      <c r="B150" s="127">
        <f>METAS!$AT$109</f>
        <v>132.30000000000001</v>
      </c>
      <c r="C150" s="99">
        <f>ROUNDUP((B150/12)*Config!$C$6,0)</f>
        <v>56</v>
      </c>
      <c r="D150" s="127">
        <f>ACUMULADO!$AV$22</f>
        <v>83</v>
      </c>
      <c r="E150" s="190">
        <f t="shared" si="100"/>
        <v>100</v>
      </c>
      <c r="F150" s="138"/>
      <c r="G150" s="133">
        <f t="shared" ref="G150" si="101">IFERROR(ROUND(D150*100/C150,1),0)</f>
        <v>148.19999999999999</v>
      </c>
      <c r="H150" s="134" t="str">
        <f t="shared" si="95"/>
        <v/>
      </c>
      <c r="I150" s="134" t="str">
        <f t="shared" si="96"/>
        <v/>
      </c>
      <c r="J150" s="135">
        <f t="shared" si="97"/>
        <v>148.19999999999999</v>
      </c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158"/>
      <c r="V150" s="98"/>
      <c r="W150" s="18"/>
      <c r="X150" s="18"/>
      <c r="Y150" s="18"/>
      <c r="Z150" s="158"/>
      <c r="AA150" s="18"/>
      <c r="AB150" s="18"/>
      <c r="AC150" s="18"/>
      <c r="AD150" s="18"/>
      <c r="AE150" s="18"/>
      <c r="AF150" s="158"/>
      <c r="AG150" s="158"/>
      <c r="AH150" s="48"/>
      <c r="AI150" s="48"/>
      <c r="AJ150" s="48"/>
      <c r="AL150" s="49" t="str">
        <f t="shared" si="92"/>
        <v>JERI</v>
      </c>
      <c r="AM150" s="50">
        <f>IF(Config!$C$6&gt;=12,"0",(B150/12))</f>
        <v>11.025</v>
      </c>
      <c r="AN150" s="51">
        <f t="shared" si="98"/>
        <v>56</v>
      </c>
      <c r="AO150" s="51">
        <f t="shared" si="93"/>
        <v>83</v>
      </c>
      <c r="AP150" s="183">
        <f t="shared" si="94"/>
        <v>148.19999999999999</v>
      </c>
      <c r="AQ150" s="52">
        <f t="shared" si="99"/>
        <v>-27</v>
      </c>
    </row>
    <row r="151" spans="1:43" s="159" customFormat="1" ht="18" customHeight="1" x14ac:dyDescent="0.25">
      <c r="A151" s="132" t="str">
        <f>Config!$B$19</f>
        <v>YANT</v>
      </c>
      <c r="B151" s="127">
        <f>METAS!$AU$109</f>
        <v>231.90000000000003</v>
      </c>
      <c r="C151" s="99">
        <f>ROUNDUP((B151/12)*Config!$C$6,0)</f>
        <v>97</v>
      </c>
      <c r="D151" s="127">
        <f>ACUMULADO!$AW$22</f>
        <v>114</v>
      </c>
      <c r="E151" s="190">
        <f t="shared" si="100"/>
        <v>100</v>
      </c>
      <c r="F151" s="138"/>
      <c r="G151" s="133">
        <f>IFERROR(ROUND(D151*100/C151,1),0)</f>
        <v>117.5</v>
      </c>
      <c r="H151" s="134" t="str">
        <f t="shared" si="95"/>
        <v/>
      </c>
      <c r="I151" s="134" t="str">
        <f t="shared" si="96"/>
        <v/>
      </c>
      <c r="J151" s="135">
        <f t="shared" si="97"/>
        <v>117.5</v>
      </c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158"/>
      <c r="V151" s="48"/>
      <c r="W151" s="18"/>
      <c r="X151" s="18"/>
      <c r="Y151" s="18"/>
      <c r="Z151" s="158"/>
      <c r="AA151" s="18"/>
      <c r="AB151" s="18"/>
      <c r="AC151" s="18"/>
      <c r="AD151" s="18"/>
      <c r="AE151" s="18"/>
      <c r="AF151" s="158"/>
      <c r="AG151" s="158"/>
      <c r="AH151" s="48"/>
      <c r="AI151" s="48"/>
      <c r="AJ151" s="48"/>
      <c r="AL151" s="49" t="str">
        <f t="shared" si="92"/>
        <v>YANT</v>
      </c>
      <c r="AM151" s="50">
        <f>IF(Config!$C$6&gt;=12,"0",(B151/12))</f>
        <v>19.325000000000003</v>
      </c>
      <c r="AN151" s="51">
        <f t="shared" si="98"/>
        <v>97</v>
      </c>
      <c r="AO151" s="51">
        <f t="shared" si="93"/>
        <v>114</v>
      </c>
      <c r="AP151" s="183">
        <f t="shared" si="94"/>
        <v>117.5</v>
      </c>
      <c r="AQ151" s="52">
        <f t="shared" si="99"/>
        <v>-17</v>
      </c>
    </row>
    <row r="152" spans="1:43" s="159" customFormat="1" ht="18" customHeight="1" x14ac:dyDescent="0.25">
      <c r="A152" s="132" t="str">
        <f>Config!$B$20</f>
        <v>SORI</v>
      </c>
      <c r="B152" s="127">
        <f>METAS!$AV$109</f>
        <v>607.79999999999995</v>
      </c>
      <c r="C152" s="99">
        <f>ROUNDUP((B152/12)*Config!$C$6,0)</f>
        <v>254</v>
      </c>
      <c r="D152" s="127">
        <f>ACUMULADO!$AX$22</f>
        <v>3</v>
      </c>
      <c r="E152" s="190">
        <f t="shared" si="100"/>
        <v>100</v>
      </c>
      <c r="F152" s="138"/>
      <c r="G152" s="133">
        <f t="shared" ref="G152" si="102">IFERROR(ROUND(D152*100/C152,1),0)</f>
        <v>1.2</v>
      </c>
      <c r="H152" s="134">
        <f t="shared" si="95"/>
        <v>1.2</v>
      </c>
      <c r="I152" s="134" t="str">
        <f t="shared" si="96"/>
        <v/>
      </c>
      <c r="J152" s="135" t="str">
        <f t="shared" si="97"/>
        <v/>
      </c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158"/>
      <c r="V152" s="94"/>
      <c r="W152" s="18"/>
      <c r="X152" s="18"/>
      <c r="Y152" s="18"/>
      <c r="Z152" s="158"/>
      <c r="AA152" s="18"/>
      <c r="AB152" s="18"/>
      <c r="AC152" s="18"/>
      <c r="AD152" s="18"/>
      <c r="AE152" s="18"/>
      <c r="AF152" s="158"/>
      <c r="AG152" s="158"/>
      <c r="AH152" s="48"/>
      <c r="AI152" s="48"/>
      <c r="AJ152" s="48"/>
      <c r="AL152" s="49" t="str">
        <f t="shared" si="92"/>
        <v>SORI</v>
      </c>
      <c r="AM152" s="50">
        <f>IF(Config!$C$6&gt;=12,"0",(B152/12))</f>
        <v>50.65</v>
      </c>
      <c r="AN152" s="51">
        <f t="shared" si="98"/>
        <v>254</v>
      </c>
      <c r="AO152" s="51">
        <f t="shared" si="93"/>
        <v>3</v>
      </c>
      <c r="AP152" s="183">
        <f t="shared" si="94"/>
        <v>1.2</v>
      </c>
      <c r="AQ152" s="52">
        <f t="shared" si="99"/>
        <v>251</v>
      </c>
    </row>
    <row r="153" spans="1:43" s="159" customFormat="1" ht="18" customHeight="1" x14ac:dyDescent="0.25">
      <c r="A153" s="132" t="str">
        <f>Config!$B$21</f>
        <v>JEPE</v>
      </c>
      <c r="B153" s="127">
        <f>METAS!$AW$109</f>
        <v>256.2</v>
      </c>
      <c r="C153" s="99">
        <f>ROUNDUP((B153/12)*Config!$C$6,0)</f>
        <v>107</v>
      </c>
      <c r="D153" s="127">
        <f>ACUMULADO!$AY$22</f>
        <v>215</v>
      </c>
      <c r="E153" s="190">
        <f t="shared" si="100"/>
        <v>100</v>
      </c>
      <c r="F153" s="138"/>
      <c r="G153" s="133">
        <f>IFERROR(ROUND(D153*100/C153,1),0)</f>
        <v>200.9</v>
      </c>
      <c r="H153" s="134" t="str">
        <f t="shared" si="95"/>
        <v/>
      </c>
      <c r="I153" s="134" t="str">
        <f t="shared" si="96"/>
        <v/>
      </c>
      <c r="J153" s="135">
        <f t="shared" si="97"/>
        <v>200.9</v>
      </c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158"/>
      <c r="V153" s="191"/>
      <c r="W153" s="149"/>
      <c r="X153" s="149"/>
      <c r="Y153" s="18"/>
      <c r="Z153" s="158"/>
      <c r="AA153" s="18"/>
      <c r="AB153" s="18"/>
      <c r="AC153" s="18"/>
      <c r="AD153" s="18"/>
      <c r="AE153" s="18"/>
      <c r="AF153" s="158"/>
      <c r="AG153" s="158"/>
      <c r="AH153" s="48"/>
      <c r="AI153" s="48"/>
      <c r="AJ153" s="48"/>
      <c r="AL153" s="49" t="str">
        <f>A153</f>
        <v>JEPE</v>
      </c>
      <c r="AM153" s="50">
        <f>IF(Config!$C$6&gt;=12,"0",(B153/12))</f>
        <v>21.349999999999998</v>
      </c>
      <c r="AN153" s="51">
        <f>C153</f>
        <v>107</v>
      </c>
      <c r="AO153" s="51">
        <f>D153</f>
        <v>215</v>
      </c>
      <c r="AP153" s="183">
        <f>G153</f>
        <v>200.9</v>
      </c>
      <c r="AQ153" s="52">
        <f>AN153-AO153</f>
        <v>-108</v>
      </c>
    </row>
    <row r="154" spans="1:43" s="159" customFormat="1" ht="18" customHeight="1" x14ac:dyDescent="0.25">
      <c r="A154" s="132" t="str">
        <f>Config!$B$22</f>
        <v>ROQU</v>
      </c>
      <c r="B154" s="127">
        <f>METAS!$AX$109</f>
        <v>214.8</v>
      </c>
      <c r="C154" s="99">
        <f>ROUNDUP((B154/12)*Config!$C$6,0)</f>
        <v>90</v>
      </c>
      <c r="D154" s="127">
        <f>ACUMULADO!$AZ$22</f>
        <v>93</v>
      </c>
      <c r="E154" s="190">
        <f t="shared" si="100"/>
        <v>100</v>
      </c>
      <c r="F154" s="138"/>
      <c r="G154" s="133">
        <f>IFERROR(ROUND(D154*100/C154,1),0)</f>
        <v>103.3</v>
      </c>
      <c r="H154" s="134" t="str">
        <f t="shared" si="95"/>
        <v/>
      </c>
      <c r="I154" s="134" t="str">
        <f t="shared" si="96"/>
        <v/>
      </c>
      <c r="J154" s="135">
        <f t="shared" si="97"/>
        <v>103.3</v>
      </c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158"/>
      <c r="W154" s="18"/>
      <c r="X154" s="18"/>
      <c r="Y154" s="18"/>
      <c r="Z154" s="158"/>
      <c r="AA154" s="18"/>
      <c r="AB154" s="18"/>
      <c r="AC154" s="18"/>
      <c r="AD154" s="18"/>
      <c r="AE154" s="18"/>
      <c r="AF154" s="158"/>
      <c r="AG154" s="158"/>
      <c r="AH154" s="48"/>
      <c r="AI154" s="48"/>
      <c r="AJ154" s="48"/>
      <c r="AL154" s="49" t="str">
        <f>A154</f>
        <v>ROQU</v>
      </c>
      <c r="AM154" s="50">
        <f>IF(Config!$C$6&gt;=12,"0",(B154/12))</f>
        <v>17.900000000000002</v>
      </c>
      <c r="AN154" s="51">
        <f>C154</f>
        <v>90</v>
      </c>
      <c r="AO154" s="51">
        <f>D154</f>
        <v>93</v>
      </c>
      <c r="AP154" s="183">
        <f>G154</f>
        <v>103.3</v>
      </c>
      <c r="AQ154" s="52">
        <f>AN154-AO154</f>
        <v>-3</v>
      </c>
    </row>
    <row r="155" spans="1:43" s="159" customFormat="1" ht="18" customHeight="1" x14ac:dyDescent="0.25">
      <c r="A155" s="132" t="str">
        <f>Config!$B$23</f>
        <v>CALZ</v>
      </c>
      <c r="B155" s="127">
        <f>METAS!$AY$109</f>
        <v>187.50000000000003</v>
      </c>
      <c r="C155" s="99">
        <f>ROUNDUP((B155/12)*Config!$C$6,0)</f>
        <v>79</v>
      </c>
      <c r="D155" s="127">
        <f>ACUMULADO!$BA$22</f>
        <v>96</v>
      </c>
      <c r="E155" s="190">
        <f t="shared" si="100"/>
        <v>100</v>
      </c>
      <c r="F155" s="138"/>
      <c r="G155" s="133">
        <f t="shared" ref="G155:G156" si="103">IFERROR(ROUND(D155*100/C155,1),0)</f>
        <v>121.5</v>
      </c>
      <c r="H155" s="134" t="str">
        <f t="shared" si="95"/>
        <v/>
      </c>
      <c r="I155" s="134" t="str">
        <f t="shared" si="96"/>
        <v/>
      </c>
      <c r="J155" s="135">
        <f t="shared" si="97"/>
        <v>121.5</v>
      </c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158"/>
      <c r="V155" s="94"/>
      <c r="W155" s="18"/>
      <c r="X155" s="18"/>
      <c r="Y155" s="18"/>
      <c r="Z155" s="158"/>
      <c r="AA155" s="18"/>
      <c r="AB155" s="18"/>
      <c r="AC155" s="18"/>
      <c r="AD155" s="18"/>
      <c r="AE155" s="18"/>
      <c r="AF155" s="158"/>
      <c r="AG155" s="158"/>
      <c r="AH155" s="48"/>
      <c r="AI155" s="48"/>
      <c r="AJ155" s="48"/>
      <c r="AL155" s="49" t="str">
        <f t="shared" si="92"/>
        <v>CALZ</v>
      </c>
      <c r="AM155" s="50">
        <f>IF(Config!$C$6&gt;=12,"0",(B155/12))</f>
        <v>15.625000000000002</v>
      </c>
      <c r="AN155" s="51">
        <f t="shared" si="98"/>
        <v>79</v>
      </c>
      <c r="AO155" s="51">
        <f t="shared" si="93"/>
        <v>96</v>
      </c>
      <c r="AP155" s="183">
        <f t="shared" si="94"/>
        <v>121.5</v>
      </c>
      <c r="AQ155" s="52">
        <f t="shared" si="99"/>
        <v>-17</v>
      </c>
    </row>
    <row r="156" spans="1:43" s="159" customFormat="1" ht="18" customHeight="1" x14ac:dyDescent="0.25">
      <c r="A156" s="132" t="str">
        <f>Config!$B$24</f>
        <v>PUEB</v>
      </c>
      <c r="B156" s="127">
        <f>METAS!$AZ$109</f>
        <v>206.7</v>
      </c>
      <c r="C156" s="99">
        <f>ROUNDUP((B156/12)*Config!$C$6,0)</f>
        <v>87</v>
      </c>
      <c r="D156" s="127">
        <f>ACUMULADO!$BB$22</f>
        <v>30</v>
      </c>
      <c r="E156" s="190">
        <f t="shared" si="100"/>
        <v>100</v>
      </c>
      <c r="F156" s="138"/>
      <c r="G156" s="133">
        <f t="shared" si="103"/>
        <v>34.5</v>
      </c>
      <c r="H156" s="134">
        <f t="shared" si="95"/>
        <v>34.5</v>
      </c>
      <c r="I156" s="134" t="str">
        <f t="shared" si="96"/>
        <v/>
      </c>
      <c r="J156" s="135" t="str">
        <f t="shared" si="97"/>
        <v/>
      </c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158"/>
      <c r="W156" s="18"/>
      <c r="X156" s="18"/>
      <c r="Y156" s="18"/>
      <c r="Z156" s="158"/>
      <c r="AA156" s="18"/>
      <c r="AB156" s="18"/>
      <c r="AC156" s="18"/>
      <c r="AD156" s="18"/>
      <c r="AE156" s="18"/>
      <c r="AF156" s="158"/>
      <c r="AG156" s="158"/>
      <c r="AH156" s="48"/>
      <c r="AI156" s="48"/>
      <c r="AJ156" s="48"/>
      <c r="AL156" s="49" t="str">
        <f>A156</f>
        <v>PUEB</v>
      </c>
      <c r="AM156" s="50">
        <f>IF(Config!$C$6&gt;=12,"0",(B156/12))</f>
        <v>17.224999999999998</v>
      </c>
      <c r="AN156" s="51">
        <f>C156</f>
        <v>87</v>
      </c>
      <c r="AO156" s="51">
        <f t="shared" si="93"/>
        <v>30</v>
      </c>
      <c r="AP156" s="183">
        <f>G156</f>
        <v>34.5</v>
      </c>
      <c r="AQ156" s="52">
        <f>AN156-AO156</f>
        <v>57</v>
      </c>
    </row>
    <row r="157" spans="1:43" s="159" customFormat="1" ht="18" customHeight="1" x14ac:dyDescent="0.25">
      <c r="A157" s="163"/>
      <c r="B157" s="164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158"/>
      <c r="V157" s="94"/>
      <c r="W157" s="18"/>
      <c r="X157" s="18"/>
      <c r="Y157" s="18"/>
      <c r="Z157" s="158"/>
      <c r="AA157" s="18"/>
      <c r="AB157" s="18"/>
      <c r="AC157" s="18"/>
      <c r="AD157" s="18"/>
      <c r="AE157" s="18"/>
      <c r="AF157" s="18"/>
      <c r="AG157" s="149"/>
      <c r="AH157" s="48"/>
      <c r="AI157" s="48"/>
      <c r="AJ157" s="48"/>
      <c r="AO157" s="48"/>
      <c r="AP157" s="4"/>
    </row>
    <row r="158" spans="1:43" s="159" customFormat="1" ht="18" customHeight="1" x14ac:dyDescent="0.25">
      <c r="A158" s="163"/>
      <c r="B158" s="164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158"/>
      <c r="V158" s="94"/>
      <c r="W158" s="18"/>
      <c r="X158" s="18"/>
      <c r="Y158" s="18"/>
      <c r="Z158" s="158"/>
      <c r="AA158" s="18"/>
      <c r="AB158" s="18"/>
      <c r="AC158" s="18"/>
      <c r="AD158" s="18"/>
      <c r="AE158" s="18"/>
      <c r="AF158" s="18"/>
      <c r="AG158" s="149"/>
      <c r="AH158" s="48"/>
      <c r="AI158" s="48"/>
      <c r="AJ158" s="48"/>
      <c r="AO158" s="48"/>
      <c r="AP158" s="4"/>
    </row>
    <row r="159" spans="1:43" s="159" customFormat="1" ht="18" customHeight="1" x14ac:dyDescent="0.25">
      <c r="A159" s="163"/>
      <c r="B159" s="164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158"/>
      <c r="V159" s="94"/>
      <c r="W159" s="18"/>
      <c r="X159" s="18"/>
      <c r="Y159" s="18"/>
      <c r="Z159" s="158"/>
      <c r="AA159" s="18"/>
      <c r="AB159" s="18"/>
      <c r="AC159" s="18"/>
      <c r="AD159" s="18"/>
      <c r="AE159" s="18"/>
      <c r="AF159" s="18"/>
      <c r="AG159" s="149"/>
      <c r="AH159" s="48"/>
      <c r="AI159" s="48"/>
      <c r="AJ159" s="48"/>
      <c r="AO159" s="48"/>
      <c r="AP159" s="4"/>
    </row>
    <row r="160" spans="1:43" s="159" customFormat="1" ht="18" customHeight="1" x14ac:dyDescent="0.25">
      <c r="A160" s="163"/>
      <c r="B160" s="164"/>
      <c r="H160" s="48"/>
      <c r="I160" s="48"/>
      <c r="J160" s="48"/>
      <c r="K160" s="105"/>
      <c r="L160" s="48"/>
      <c r="M160" s="48"/>
      <c r="N160" s="48"/>
      <c r="O160" s="48"/>
      <c r="P160" s="48"/>
      <c r="Q160" s="48"/>
      <c r="R160" s="48"/>
      <c r="S160" s="48"/>
      <c r="T160" s="48"/>
      <c r="U160" s="158"/>
      <c r="V160" s="94"/>
      <c r="W160" s="18"/>
      <c r="X160" s="18"/>
      <c r="Y160" s="18"/>
      <c r="Z160" s="158"/>
      <c r="AA160" s="18"/>
      <c r="AB160" s="18"/>
      <c r="AC160" s="18"/>
      <c r="AD160" s="18"/>
      <c r="AE160" s="18"/>
      <c r="AF160" s="18"/>
      <c r="AG160" s="149"/>
      <c r="AH160" s="48"/>
      <c r="AI160" s="48"/>
      <c r="AJ160" s="48"/>
      <c r="AO160" s="48"/>
      <c r="AP160" s="4"/>
    </row>
    <row r="161" spans="1:45" s="159" customFormat="1" ht="18" customHeight="1" x14ac:dyDescent="0.25">
      <c r="A161" s="163"/>
      <c r="B161" s="164"/>
      <c r="H161" s="48"/>
      <c r="I161" s="48"/>
      <c r="J161" s="48"/>
      <c r="K161" s="105"/>
      <c r="L161" s="48"/>
      <c r="M161" s="48"/>
      <c r="N161" s="48"/>
      <c r="O161" s="48"/>
      <c r="P161" s="48"/>
      <c r="Q161" s="48"/>
      <c r="R161" s="48"/>
      <c r="S161" s="48"/>
      <c r="T161" s="48"/>
      <c r="U161" s="158"/>
      <c r="V161" s="94"/>
      <c r="W161" s="18"/>
      <c r="X161" s="18"/>
      <c r="Y161" s="18"/>
      <c r="Z161" s="158"/>
      <c r="AA161" s="18"/>
      <c r="AB161" s="18"/>
      <c r="AC161" s="18"/>
      <c r="AD161" s="18"/>
      <c r="AE161" s="18"/>
      <c r="AF161" s="18"/>
      <c r="AG161" s="149"/>
      <c r="AH161" s="48"/>
      <c r="AI161" s="48"/>
      <c r="AJ161" s="48"/>
      <c r="AO161" s="48"/>
      <c r="AP161" s="4"/>
    </row>
    <row r="162" spans="1:45" s="159" customFormat="1" ht="18" customHeight="1" x14ac:dyDescent="0.25">
      <c r="A162" s="5"/>
      <c r="B162" s="164"/>
      <c r="C162" s="101"/>
      <c r="D162" s="102"/>
      <c r="E162" s="102"/>
      <c r="F162" s="103"/>
      <c r="G162" s="103"/>
      <c r="H162" s="103"/>
      <c r="I162" s="186"/>
      <c r="J162" s="187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158"/>
      <c r="V162" s="94"/>
      <c r="W162" s="18"/>
      <c r="X162" s="18"/>
      <c r="Y162" s="18"/>
      <c r="Z162" s="158"/>
      <c r="AA162" s="18"/>
      <c r="AB162" s="18"/>
      <c r="AC162" s="18"/>
      <c r="AD162" s="18"/>
      <c r="AE162" s="18"/>
      <c r="AF162" s="18"/>
      <c r="AG162" s="149"/>
      <c r="AH162" s="48"/>
      <c r="AI162" s="48"/>
      <c r="AJ162" s="48"/>
      <c r="AO162" s="48"/>
      <c r="AP162" s="4"/>
    </row>
    <row r="163" spans="1:45" s="159" customFormat="1" ht="18" customHeight="1" x14ac:dyDescent="0.25">
      <c r="A163" s="5"/>
      <c r="B163" s="164"/>
      <c r="C163" s="101"/>
      <c r="D163" s="102"/>
      <c r="E163" s="102"/>
      <c r="F163" s="103"/>
      <c r="G163" s="103"/>
      <c r="H163" s="103"/>
      <c r="I163" s="186"/>
      <c r="J163" s="187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158"/>
      <c r="W163" s="18"/>
      <c r="X163" s="18"/>
      <c r="Y163" s="18"/>
      <c r="Z163" s="158"/>
      <c r="AA163" s="18"/>
      <c r="AB163" s="18"/>
      <c r="AC163" s="18"/>
      <c r="AD163" s="18"/>
      <c r="AE163" s="18"/>
      <c r="AF163" s="18"/>
      <c r="AG163" s="149"/>
      <c r="AH163" s="48"/>
      <c r="AI163" s="48"/>
      <c r="AJ163" s="48"/>
      <c r="AO163" s="48"/>
      <c r="AP163" s="4"/>
    </row>
    <row r="164" spans="1:45" s="159" customFormat="1" ht="18" customHeight="1" x14ac:dyDescent="0.25">
      <c r="A164" s="5"/>
      <c r="B164" s="164"/>
      <c r="C164" s="101"/>
      <c r="D164" s="102"/>
      <c r="E164" s="102"/>
      <c r="F164" s="103"/>
      <c r="G164" s="103"/>
      <c r="H164" s="103"/>
      <c r="I164" s="186"/>
      <c r="J164" s="187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158"/>
      <c r="W164" s="18"/>
      <c r="X164" s="18"/>
      <c r="Y164" s="18"/>
      <c r="Z164" s="158"/>
      <c r="AA164" s="18"/>
      <c r="AB164" s="18"/>
      <c r="AC164" s="18"/>
      <c r="AD164" s="18"/>
      <c r="AE164" s="18"/>
      <c r="AF164" s="18"/>
      <c r="AG164" s="149"/>
      <c r="AH164" s="48"/>
      <c r="AI164" s="48"/>
      <c r="AJ164" s="48"/>
      <c r="AO164" s="48"/>
      <c r="AP164" s="4"/>
    </row>
    <row r="165" spans="1:45" s="159" customFormat="1" ht="18" customHeight="1" x14ac:dyDescent="0.25">
      <c r="A165" s="5"/>
      <c r="B165" s="48"/>
      <c r="C165" s="101"/>
      <c r="D165" s="102"/>
      <c r="E165" s="102"/>
      <c r="F165" s="103"/>
      <c r="G165" s="103"/>
      <c r="H165" s="103"/>
      <c r="I165" s="186"/>
      <c r="J165" s="187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158"/>
      <c r="W165" s="18"/>
      <c r="X165" s="18"/>
      <c r="Y165" s="18"/>
      <c r="Z165" s="158"/>
      <c r="AA165" s="18"/>
      <c r="AB165" s="18"/>
      <c r="AC165" s="18"/>
      <c r="AD165" s="18"/>
      <c r="AE165" s="18"/>
      <c r="AF165" s="18"/>
      <c r="AG165" s="149"/>
      <c r="AH165" s="48"/>
      <c r="AI165" s="48"/>
      <c r="AJ165" s="48"/>
      <c r="AO165" s="48"/>
      <c r="AP165" s="4"/>
    </row>
    <row r="166" spans="1:45" s="159" customFormat="1" ht="18" customHeight="1" x14ac:dyDescent="0.25">
      <c r="A166" s="5" t="str">
        <f>METAS!$B$110</f>
        <v>NIÑO MENOR DE 5 AÑOS CON SUPLEMENTO DE VITAMINA A</v>
      </c>
      <c r="B166" s="48"/>
      <c r="C166" s="101"/>
      <c r="D166" s="102"/>
      <c r="E166" s="102"/>
      <c r="F166" s="103"/>
      <c r="G166" s="103"/>
      <c r="H166" s="103"/>
      <c r="I166" s="189"/>
      <c r="J166" s="187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158"/>
      <c r="W166" s="18"/>
      <c r="X166" s="18"/>
      <c r="Y166" s="18"/>
      <c r="Z166" s="158"/>
      <c r="AA166" s="18"/>
      <c r="AB166" s="18"/>
      <c r="AC166" s="18"/>
      <c r="AD166" s="18"/>
      <c r="AE166" s="18"/>
      <c r="AF166" s="18"/>
      <c r="AG166" s="149"/>
      <c r="AH166" s="48"/>
      <c r="AI166" s="48"/>
      <c r="AJ166" s="48"/>
      <c r="AL166" s="48" t="str">
        <f t="shared" ref="AL166:AN177" si="104">A166</f>
        <v>NIÑO MENOR DE 5 AÑOS CON SUPLEMENTO DE VITAMINA A</v>
      </c>
      <c r="AM166" s="48"/>
      <c r="AN166" s="48"/>
      <c r="AO166" s="48"/>
      <c r="AP166" s="4"/>
      <c r="AQ166" s="48"/>
      <c r="AR166" s="4"/>
      <c r="AS166" s="48"/>
    </row>
    <row r="167" spans="1:45" s="159" customFormat="1" ht="48" customHeight="1" thickBot="1" x14ac:dyDescent="0.3">
      <c r="A167" s="107" t="s">
        <v>2</v>
      </c>
      <c r="B167" s="108" t="s">
        <v>275</v>
      </c>
      <c r="C167" s="109" t="s">
        <v>192</v>
      </c>
      <c r="D167" s="108" t="s">
        <v>281</v>
      </c>
      <c r="E167" s="108" t="s">
        <v>1</v>
      </c>
      <c r="F167" s="110"/>
      <c r="G167" s="111" t="s">
        <v>121</v>
      </c>
      <c r="H167" s="112" t="str">
        <f>"DEFICIENTE &lt; = "&amp;$H$3</f>
        <v>DEFICIENTE &lt; = 90</v>
      </c>
      <c r="I167" s="112" t="str">
        <f>"PROCESO &gt; "&amp;$H$3&amp;"  -  &lt; "&amp;$I$3</f>
        <v>PROCESO &gt; 90  -  &lt; 100</v>
      </c>
      <c r="J167" s="112" t="str">
        <f>"OPTIMO &gt; = "&amp;$I$3</f>
        <v>OPTIMO &gt; = 100</v>
      </c>
      <c r="K167" s="4"/>
      <c r="L167" s="48"/>
      <c r="M167" s="48"/>
      <c r="N167" s="48"/>
      <c r="O167" s="48"/>
      <c r="P167" s="48"/>
      <c r="Q167" s="48"/>
      <c r="R167" s="48"/>
      <c r="S167" s="48"/>
      <c r="T167" s="48"/>
      <c r="U167" s="158"/>
      <c r="V167" s="98" t="str">
        <f>A166</f>
        <v>NIÑO MENOR DE 5 AÑOS CON SUPLEMENTO DE VITAMINA A</v>
      </c>
      <c r="W167" s="18"/>
      <c r="X167" s="18"/>
      <c r="Y167" s="18"/>
      <c r="Z167" s="158"/>
      <c r="AA167" s="18"/>
      <c r="AB167" s="18"/>
      <c r="AC167" s="18"/>
      <c r="AD167" s="18"/>
      <c r="AE167" s="18"/>
      <c r="AF167" s="18"/>
      <c r="AG167" s="149"/>
      <c r="AH167" s="48"/>
      <c r="AI167" s="6"/>
      <c r="AJ167" s="6"/>
      <c r="AL167" s="113" t="str">
        <f t="shared" si="104"/>
        <v>ESTABLECIMIENTOS</v>
      </c>
      <c r="AM167" s="114" t="s">
        <v>233</v>
      </c>
      <c r="AN167" s="115" t="str">
        <f t="shared" ref="AN167:AN177" si="105">C167</f>
        <v>Pob. Suj</v>
      </c>
      <c r="AO167" s="116" t="str">
        <f t="shared" ref="AO167:AO177" si="106">E167</f>
        <v>META</v>
      </c>
      <c r="AP167" s="116" t="s">
        <v>11</v>
      </c>
      <c r="AQ167" s="117" t="s">
        <v>232</v>
      </c>
    </row>
    <row r="168" spans="1:45" s="159" customFormat="1" ht="18" customHeight="1" thickBot="1" x14ac:dyDescent="0.3">
      <c r="A168" s="118" t="str">
        <f>Config!$B$15</f>
        <v>RED</v>
      </c>
      <c r="B168" s="119">
        <f>SUM(B169:B177)</f>
        <v>3878.4</v>
      </c>
      <c r="C168" s="119">
        <f>SUM(C169:C177)</f>
        <v>1621</v>
      </c>
      <c r="D168" s="119">
        <f>SUM(D169:D177)</f>
        <v>614</v>
      </c>
      <c r="E168" s="119">
        <f>Config!$D$9</f>
        <v>100</v>
      </c>
      <c r="F168" s="120"/>
      <c r="G168" s="119">
        <f>IFERROR(ROUND(D168*100/C168,1),0)</f>
        <v>37.9</v>
      </c>
      <c r="H168" s="121">
        <f t="shared" ref="H168:H177" si="107">IF(G168&lt;=$H$3,G168,"")</f>
        <v>37.9</v>
      </c>
      <c r="I168" s="121" t="str">
        <f t="shared" ref="I168:I177" si="108">IF(G168&gt;$H$3,IF(G168&lt;$I$3,G168,""),"")</f>
        <v/>
      </c>
      <c r="J168" s="119" t="str">
        <f t="shared" ref="J168:J177" si="109">IF(G168&gt;=$I$3,G168,"")</f>
        <v/>
      </c>
      <c r="K168" s="4"/>
      <c r="L168" s="48"/>
      <c r="M168" s="48"/>
      <c r="N168" s="48"/>
      <c r="O168" s="48"/>
      <c r="P168" s="48"/>
      <c r="Q168" s="48"/>
      <c r="R168" s="48"/>
      <c r="S168" s="48"/>
      <c r="T168" s="48"/>
      <c r="U168" s="158"/>
      <c r="V168" s="137" t="str">
        <f>$V$1&amp;"  "&amp;V167&amp;"  "&amp;$V$3&amp;"  "&amp;$V$2</f>
        <v>RED. MOYOBAMBA:  NIÑO MENOR DE 5 AÑOS CON SUPLEMENTO DE VITAMINA A  - POR MICROREDES :   ENERO - MAYO 2022</v>
      </c>
      <c r="W168" s="192"/>
      <c r="X168" s="18"/>
      <c r="Y168" s="18"/>
      <c r="Z168" s="158"/>
      <c r="AA168" s="18"/>
      <c r="AB168" s="18"/>
      <c r="AC168" s="18"/>
      <c r="AD168" s="18"/>
      <c r="AE168" s="18"/>
      <c r="AF168" s="18"/>
      <c r="AG168" s="149"/>
      <c r="AH168" s="48"/>
      <c r="AI168" s="6"/>
      <c r="AJ168" s="6"/>
      <c r="AL168" s="123" t="str">
        <f t="shared" si="104"/>
        <v>RED</v>
      </c>
      <c r="AM168" s="124">
        <f t="shared" si="104"/>
        <v>3878.4</v>
      </c>
      <c r="AN168" s="125">
        <f t="shared" si="105"/>
        <v>1621</v>
      </c>
      <c r="AO168" s="124">
        <f t="shared" si="106"/>
        <v>100</v>
      </c>
      <c r="AP168" s="125">
        <f t="shared" ref="AP168:AP177" si="110">G168</f>
        <v>37.9</v>
      </c>
      <c r="AQ168" s="125">
        <f t="shared" ref="AQ168:AQ176" si="111">AN168-AO168</f>
        <v>1521</v>
      </c>
    </row>
    <row r="169" spans="1:45" s="159" customFormat="1" ht="18" hidden="1" customHeight="1" x14ac:dyDescent="0.25">
      <c r="A169" s="132" t="str">
        <f>Config!$B$16</f>
        <v>HOSP</v>
      </c>
      <c r="B169" s="127">
        <f>METAS!$AR$110</f>
        <v>0</v>
      </c>
      <c r="C169" s="127">
        <f>ROUNDUP((B169/12)*Config!$C$6,0)</f>
        <v>0</v>
      </c>
      <c r="D169" s="127">
        <f>ACUMULADO!$AT$23</f>
        <v>0</v>
      </c>
      <c r="E169" s="190">
        <f>E168</f>
        <v>100</v>
      </c>
      <c r="F169" s="138"/>
      <c r="G169" s="133">
        <f>IFERROR(ROUND(D169*100/C169,1),0)</f>
        <v>0</v>
      </c>
      <c r="H169" s="134">
        <f t="shared" si="107"/>
        <v>0</v>
      </c>
      <c r="I169" s="134" t="str">
        <f t="shared" si="108"/>
        <v/>
      </c>
      <c r="J169" s="135" t="str">
        <f t="shared" si="109"/>
        <v/>
      </c>
      <c r="K169" s="4"/>
      <c r="L169" s="48"/>
      <c r="M169" s="48"/>
      <c r="N169" s="48"/>
      <c r="O169" s="48"/>
      <c r="P169" s="48"/>
      <c r="Q169" s="48"/>
      <c r="R169" s="48"/>
      <c r="S169" s="48"/>
      <c r="T169" s="48"/>
      <c r="U169" s="158"/>
      <c r="W169" s="18"/>
      <c r="X169" s="18"/>
      <c r="Y169" s="18"/>
      <c r="Z169" s="158"/>
      <c r="AA169" s="18"/>
      <c r="AB169" s="18"/>
      <c r="AC169" s="18"/>
      <c r="AD169" s="18"/>
      <c r="AE169" s="18"/>
      <c r="AF169" s="18"/>
      <c r="AG169" s="149"/>
      <c r="AH169" s="48"/>
      <c r="AI169" s="6"/>
      <c r="AJ169" s="6"/>
      <c r="AL169" s="49" t="str">
        <f t="shared" si="104"/>
        <v>HOSP</v>
      </c>
      <c r="AM169" s="51">
        <f t="shared" si="104"/>
        <v>0</v>
      </c>
      <c r="AN169" s="51">
        <f t="shared" si="105"/>
        <v>0</v>
      </c>
      <c r="AO169" s="50">
        <f t="shared" si="106"/>
        <v>100</v>
      </c>
      <c r="AP169" s="183">
        <f t="shared" si="110"/>
        <v>0</v>
      </c>
      <c r="AQ169" s="52">
        <f t="shared" si="111"/>
        <v>-100</v>
      </c>
    </row>
    <row r="170" spans="1:45" s="159" customFormat="1" ht="18" customHeight="1" x14ac:dyDescent="0.25">
      <c r="A170" s="132" t="str">
        <f>Config!$B$17</f>
        <v>LLUI</v>
      </c>
      <c r="B170" s="127">
        <f>METAS!$AS$110</f>
        <v>1609.1999999999998</v>
      </c>
      <c r="C170" s="99">
        <f>ROUNDUP((B170/12)*Config!$C$6,0)</f>
        <v>671</v>
      </c>
      <c r="D170" s="127">
        <f>ACUMULADO!$AU$23</f>
        <v>456</v>
      </c>
      <c r="E170" s="190">
        <f t="shared" ref="E170:E177" si="112">E169</f>
        <v>100</v>
      </c>
      <c r="F170" s="138"/>
      <c r="G170" s="133">
        <f>IFERROR(ROUND(D170*100/C170,1),0)</f>
        <v>68</v>
      </c>
      <c r="H170" s="134">
        <f t="shared" si="107"/>
        <v>68</v>
      </c>
      <c r="I170" s="134" t="str">
        <f t="shared" si="108"/>
        <v/>
      </c>
      <c r="J170" s="135" t="str">
        <f t="shared" si="109"/>
        <v/>
      </c>
      <c r="K170" s="4"/>
      <c r="L170" s="48"/>
      <c r="M170" s="48"/>
      <c r="N170" s="48"/>
      <c r="O170" s="48"/>
      <c r="P170" s="48"/>
      <c r="Q170" s="48"/>
      <c r="R170" s="48"/>
      <c r="S170" s="48"/>
      <c r="T170" s="48"/>
      <c r="U170" s="158"/>
      <c r="V170" s="98"/>
      <c r="W170" s="161"/>
      <c r="X170" s="161"/>
      <c r="Y170" s="18"/>
      <c r="Z170" s="158"/>
      <c r="AA170" s="18"/>
      <c r="AB170" s="18"/>
      <c r="AC170" s="18"/>
      <c r="AD170" s="18"/>
      <c r="AE170" s="18"/>
      <c r="AF170" s="18"/>
      <c r="AG170" s="149"/>
      <c r="AH170" s="48"/>
      <c r="AI170" s="6"/>
      <c r="AJ170" s="6"/>
      <c r="AL170" s="49" t="str">
        <f t="shared" si="104"/>
        <v>LLUI</v>
      </c>
      <c r="AM170" s="51">
        <f t="shared" si="104"/>
        <v>1609.1999999999998</v>
      </c>
      <c r="AN170" s="51">
        <f t="shared" si="105"/>
        <v>671</v>
      </c>
      <c r="AO170" s="50">
        <f t="shared" si="106"/>
        <v>100</v>
      </c>
      <c r="AP170" s="183">
        <f t="shared" si="110"/>
        <v>68</v>
      </c>
      <c r="AQ170" s="52">
        <f t="shared" si="111"/>
        <v>571</v>
      </c>
    </row>
    <row r="171" spans="1:45" s="159" customFormat="1" ht="18" customHeight="1" x14ac:dyDescent="0.25">
      <c r="A171" s="132" t="str">
        <f>Config!$B$18</f>
        <v>JERI</v>
      </c>
      <c r="B171" s="127">
        <f>METAS!$AT$110</f>
        <v>160.19999999999999</v>
      </c>
      <c r="C171" s="99">
        <f>ROUNDUP((B171/12)*Config!$C$6,0)</f>
        <v>67</v>
      </c>
      <c r="D171" s="127">
        <f>ACUMULADO!$AV$23</f>
        <v>0</v>
      </c>
      <c r="E171" s="190">
        <f t="shared" si="112"/>
        <v>100</v>
      </c>
      <c r="F171" s="138"/>
      <c r="G171" s="133">
        <f t="shared" ref="G171" si="113">IFERROR(ROUND(D171*100/C171,1),0)</f>
        <v>0</v>
      </c>
      <c r="H171" s="134">
        <f t="shared" si="107"/>
        <v>0</v>
      </c>
      <c r="I171" s="134" t="str">
        <f t="shared" si="108"/>
        <v/>
      </c>
      <c r="J171" s="135" t="str">
        <f t="shared" si="109"/>
        <v/>
      </c>
      <c r="K171" s="4"/>
      <c r="L171" s="48"/>
      <c r="M171" s="48"/>
      <c r="N171" s="48"/>
      <c r="O171" s="48"/>
      <c r="P171" s="48"/>
      <c r="Q171" s="48"/>
      <c r="R171" s="48"/>
      <c r="S171" s="48"/>
      <c r="T171" s="48"/>
      <c r="U171" s="158"/>
      <c r="V171" s="98"/>
      <c r="W171" s="18"/>
      <c r="X171" s="18"/>
      <c r="Y171" s="18"/>
      <c r="Z171" s="158"/>
      <c r="AA171" s="18"/>
      <c r="AB171" s="18"/>
      <c r="AC171" s="18"/>
      <c r="AD171" s="18"/>
      <c r="AE171" s="18"/>
      <c r="AF171" s="18"/>
      <c r="AG171" s="149"/>
      <c r="AH171" s="48"/>
      <c r="AI171" s="6"/>
      <c r="AJ171" s="6"/>
      <c r="AL171" s="49" t="str">
        <f t="shared" si="104"/>
        <v>JERI</v>
      </c>
      <c r="AM171" s="51">
        <f t="shared" si="104"/>
        <v>160.19999999999999</v>
      </c>
      <c r="AN171" s="51">
        <f t="shared" si="105"/>
        <v>67</v>
      </c>
      <c r="AO171" s="50">
        <f t="shared" si="106"/>
        <v>100</v>
      </c>
      <c r="AP171" s="183">
        <f t="shared" si="110"/>
        <v>0</v>
      </c>
      <c r="AQ171" s="52">
        <f t="shared" si="111"/>
        <v>-33</v>
      </c>
    </row>
    <row r="172" spans="1:45" s="159" customFormat="1" ht="18" customHeight="1" x14ac:dyDescent="0.25">
      <c r="A172" s="132" t="str">
        <f>Config!$B$19</f>
        <v>YANT</v>
      </c>
      <c r="B172" s="127">
        <f>METAS!$AU$110</f>
        <v>290.7</v>
      </c>
      <c r="C172" s="99">
        <f>ROUNDUP((B172/12)*Config!$C$6,0)</f>
        <v>122</v>
      </c>
      <c r="D172" s="127">
        <f>ACUMULADO!$AW$23</f>
        <v>3</v>
      </c>
      <c r="E172" s="190">
        <f t="shared" si="112"/>
        <v>100</v>
      </c>
      <c r="F172" s="138"/>
      <c r="G172" s="133">
        <f>IFERROR(ROUND(D172*100/C172,1),0)</f>
        <v>2.5</v>
      </c>
      <c r="H172" s="134">
        <f t="shared" si="107"/>
        <v>2.5</v>
      </c>
      <c r="I172" s="134" t="str">
        <f t="shared" si="108"/>
        <v/>
      </c>
      <c r="J172" s="135" t="str">
        <f t="shared" si="109"/>
        <v/>
      </c>
      <c r="K172" s="4"/>
      <c r="L172" s="48"/>
      <c r="M172" s="48"/>
      <c r="N172" s="48"/>
      <c r="O172" s="48"/>
      <c r="P172" s="48"/>
      <c r="Q172" s="48"/>
      <c r="R172" s="48"/>
      <c r="S172" s="48"/>
      <c r="T172" s="48"/>
      <c r="U172" s="158"/>
      <c r="V172" s="191"/>
      <c r="W172" s="18"/>
      <c r="X172" s="18"/>
      <c r="Y172" s="18"/>
      <c r="Z172" s="158"/>
      <c r="AA172" s="18"/>
      <c r="AB172" s="18"/>
      <c r="AC172" s="18"/>
      <c r="AD172" s="18"/>
      <c r="AE172" s="18"/>
      <c r="AF172" s="18"/>
      <c r="AG172" s="149"/>
      <c r="AH172" s="48"/>
      <c r="AI172" s="6"/>
      <c r="AJ172" s="6"/>
      <c r="AL172" s="49" t="str">
        <f t="shared" si="104"/>
        <v>YANT</v>
      </c>
      <c r="AM172" s="51">
        <f t="shared" si="104"/>
        <v>290.7</v>
      </c>
      <c r="AN172" s="51">
        <f t="shared" si="105"/>
        <v>122</v>
      </c>
      <c r="AO172" s="50">
        <f t="shared" si="106"/>
        <v>100</v>
      </c>
      <c r="AP172" s="183">
        <f t="shared" si="110"/>
        <v>2.5</v>
      </c>
      <c r="AQ172" s="52">
        <f t="shared" si="111"/>
        <v>22</v>
      </c>
    </row>
    <row r="173" spans="1:45" s="159" customFormat="1" ht="18" customHeight="1" x14ac:dyDescent="0.25">
      <c r="A173" s="132" t="str">
        <f>Config!$B$20</f>
        <v>SORI</v>
      </c>
      <c r="B173" s="127">
        <f>METAS!$AV$110</f>
        <v>752.1</v>
      </c>
      <c r="C173" s="99">
        <f>ROUNDUP((B173/12)*Config!$C$6,0)</f>
        <v>314</v>
      </c>
      <c r="D173" s="127">
        <f>ACUMULADO!$AX$23</f>
        <v>1</v>
      </c>
      <c r="E173" s="190">
        <f t="shared" si="112"/>
        <v>100</v>
      </c>
      <c r="F173" s="138"/>
      <c r="G173" s="133">
        <f t="shared" ref="G173" si="114">IFERROR(ROUND(D173*100/C173,1),0)</f>
        <v>0.3</v>
      </c>
      <c r="H173" s="134">
        <f t="shared" si="107"/>
        <v>0.3</v>
      </c>
      <c r="I173" s="134" t="str">
        <f t="shared" si="108"/>
        <v/>
      </c>
      <c r="J173" s="135" t="str">
        <f t="shared" si="109"/>
        <v/>
      </c>
      <c r="K173" s="4"/>
      <c r="L173" s="48"/>
      <c r="M173" s="48"/>
      <c r="N173" s="48"/>
      <c r="O173" s="48"/>
      <c r="P173" s="48"/>
      <c r="Q173" s="48"/>
      <c r="R173" s="48"/>
      <c r="S173" s="48"/>
      <c r="T173" s="48"/>
      <c r="U173" s="158"/>
      <c r="V173" s="94"/>
      <c r="W173" s="18"/>
      <c r="X173" s="18"/>
      <c r="Y173" s="18"/>
      <c r="Z173" s="158"/>
      <c r="AA173" s="18"/>
      <c r="AB173" s="18"/>
      <c r="AC173" s="18"/>
      <c r="AD173" s="18"/>
      <c r="AE173" s="18"/>
      <c r="AF173" s="18"/>
      <c r="AG173" s="149"/>
      <c r="AH173" s="48"/>
      <c r="AI173" s="6"/>
      <c r="AJ173" s="6"/>
      <c r="AL173" s="49" t="str">
        <f t="shared" si="104"/>
        <v>SORI</v>
      </c>
      <c r="AM173" s="51">
        <f t="shared" si="104"/>
        <v>752.1</v>
      </c>
      <c r="AN173" s="51">
        <f t="shared" si="105"/>
        <v>314</v>
      </c>
      <c r="AO173" s="50">
        <f t="shared" si="106"/>
        <v>100</v>
      </c>
      <c r="AP173" s="183">
        <f t="shared" si="110"/>
        <v>0.3</v>
      </c>
      <c r="AQ173" s="52">
        <f t="shared" si="111"/>
        <v>214</v>
      </c>
    </row>
    <row r="174" spans="1:45" s="159" customFormat="1" ht="18" customHeight="1" x14ac:dyDescent="0.25">
      <c r="A174" s="132" t="str">
        <f>Config!$B$21</f>
        <v>JEPE</v>
      </c>
      <c r="B174" s="127">
        <f>METAS!$AW$110</f>
        <v>309.90000000000003</v>
      </c>
      <c r="C174" s="99">
        <f>ROUNDUP((B174/12)*Config!$C$6,0)</f>
        <v>130</v>
      </c>
      <c r="D174" s="127">
        <f>ACUMULADO!$AY$23</f>
        <v>3</v>
      </c>
      <c r="E174" s="190">
        <f t="shared" si="112"/>
        <v>100</v>
      </c>
      <c r="F174" s="138"/>
      <c r="G174" s="133">
        <f>IFERROR(ROUND(D174*100/C174,1),0)</f>
        <v>2.2999999999999998</v>
      </c>
      <c r="H174" s="134">
        <f t="shared" si="107"/>
        <v>2.2999999999999998</v>
      </c>
      <c r="I174" s="134" t="str">
        <f t="shared" si="108"/>
        <v/>
      </c>
      <c r="J174" s="135" t="str">
        <f t="shared" si="109"/>
        <v/>
      </c>
      <c r="K174" s="4"/>
      <c r="L174" s="48"/>
      <c r="M174" s="48"/>
      <c r="N174" s="48"/>
      <c r="O174" s="48"/>
      <c r="P174" s="48"/>
      <c r="Q174" s="48"/>
      <c r="R174" s="48"/>
      <c r="S174" s="48"/>
      <c r="T174" s="48"/>
      <c r="U174" s="158"/>
      <c r="V174" s="94"/>
      <c r="W174" s="149"/>
      <c r="X174" s="149"/>
      <c r="Y174" s="18"/>
      <c r="Z174" s="158"/>
      <c r="AA174" s="18"/>
      <c r="AB174" s="18"/>
      <c r="AC174" s="18"/>
      <c r="AD174" s="18"/>
      <c r="AE174" s="18"/>
      <c r="AF174" s="18"/>
      <c r="AG174" s="149"/>
      <c r="AH174" s="48"/>
      <c r="AI174" s="6"/>
      <c r="AJ174" s="6"/>
      <c r="AL174" s="49" t="str">
        <f t="shared" si="104"/>
        <v>JEPE</v>
      </c>
      <c r="AM174" s="51">
        <f t="shared" si="104"/>
        <v>309.90000000000003</v>
      </c>
      <c r="AN174" s="51">
        <f t="shared" si="104"/>
        <v>130</v>
      </c>
      <c r="AO174" s="50">
        <f>E174</f>
        <v>100</v>
      </c>
      <c r="AP174" s="183">
        <f>G174</f>
        <v>2.2999999999999998</v>
      </c>
      <c r="AQ174" s="52">
        <f>AN174-AO174</f>
        <v>30</v>
      </c>
    </row>
    <row r="175" spans="1:45" s="159" customFormat="1" ht="18" customHeight="1" x14ac:dyDescent="0.25">
      <c r="A175" s="132" t="str">
        <f>Config!$B$22</f>
        <v>ROQU</v>
      </c>
      <c r="B175" s="127">
        <f>METAS!$AX$110</f>
        <v>270.3</v>
      </c>
      <c r="C175" s="99">
        <f>ROUNDUP((B175/12)*Config!$C$6,0)</f>
        <v>113</v>
      </c>
      <c r="D175" s="127">
        <f>ACUMULADO!$AZ$23</f>
        <v>76</v>
      </c>
      <c r="E175" s="190">
        <f t="shared" si="112"/>
        <v>100</v>
      </c>
      <c r="F175" s="138"/>
      <c r="G175" s="133">
        <f>IFERROR(ROUND(D175*100/C175,1),0)</f>
        <v>67.3</v>
      </c>
      <c r="H175" s="134">
        <f t="shared" si="107"/>
        <v>67.3</v>
      </c>
      <c r="I175" s="134" t="str">
        <f t="shared" si="108"/>
        <v/>
      </c>
      <c r="J175" s="135" t="str">
        <f t="shared" si="109"/>
        <v/>
      </c>
      <c r="K175" s="4"/>
      <c r="L175" s="48"/>
      <c r="M175" s="48"/>
      <c r="N175" s="48"/>
      <c r="O175" s="48"/>
      <c r="P175" s="48"/>
      <c r="Q175" s="48"/>
      <c r="R175" s="48"/>
      <c r="S175" s="48"/>
      <c r="T175" s="48"/>
      <c r="U175" s="158"/>
      <c r="W175" s="18"/>
      <c r="X175" s="18"/>
      <c r="Y175" s="18"/>
      <c r="Z175" s="158"/>
      <c r="AA175" s="18"/>
      <c r="AB175" s="18"/>
      <c r="AC175" s="18"/>
      <c r="AD175" s="18"/>
      <c r="AE175" s="18"/>
      <c r="AF175" s="18"/>
      <c r="AG175" s="149"/>
      <c r="AH175" s="48"/>
      <c r="AI175" s="6"/>
      <c r="AJ175" s="6"/>
      <c r="AL175" s="49" t="str">
        <f t="shared" si="104"/>
        <v>ROQU</v>
      </c>
      <c r="AM175" s="51">
        <f t="shared" si="104"/>
        <v>270.3</v>
      </c>
      <c r="AN175" s="51">
        <f t="shared" si="104"/>
        <v>113</v>
      </c>
      <c r="AO175" s="50">
        <f>E175</f>
        <v>100</v>
      </c>
      <c r="AP175" s="183">
        <f>G175</f>
        <v>67.3</v>
      </c>
      <c r="AQ175" s="52">
        <f>AN175-AO175</f>
        <v>13</v>
      </c>
    </row>
    <row r="176" spans="1:45" s="159" customFormat="1" ht="18" customHeight="1" x14ac:dyDescent="0.25">
      <c r="A176" s="132" t="str">
        <f>Config!$B$23</f>
        <v>CALZ</v>
      </c>
      <c r="B176" s="127">
        <f>METAS!$AY$110</f>
        <v>230.70000000000002</v>
      </c>
      <c r="C176" s="99">
        <f>ROUNDUP((B176/12)*Config!$C$6,0)</f>
        <v>97</v>
      </c>
      <c r="D176" s="127">
        <f>ACUMULADO!$BA$23</f>
        <v>66</v>
      </c>
      <c r="E176" s="190">
        <f t="shared" si="112"/>
        <v>100</v>
      </c>
      <c r="F176" s="138"/>
      <c r="G176" s="133">
        <f t="shared" ref="G176:G177" si="115">IFERROR(ROUND(D176*100/C176,1),0)</f>
        <v>68</v>
      </c>
      <c r="H176" s="134">
        <f t="shared" si="107"/>
        <v>68</v>
      </c>
      <c r="I176" s="134" t="str">
        <f t="shared" si="108"/>
        <v/>
      </c>
      <c r="J176" s="135" t="str">
        <f t="shared" si="109"/>
        <v/>
      </c>
      <c r="K176" s="4"/>
      <c r="L176" s="48"/>
      <c r="M176" s="48"/>
      <c r="N176" s="48"/>
      <c r="O176" s="48"/>
      <c r="P176" s="48"/>
      <c r="Q176" s="48"/>
      <c r="R176" s="48"/>
      <c r="S176" s="48"/>
      <c r="T176" s="48"/>
      <c r="U176" s="158"/>
      <c r="V176" s="94"/>
      <c r="W176" s="18"/>
      <c r="X176" s="18"/>
      <c r="Y176" s="18"/>
      <c r="Z176" s="158"/>
      <c r="AA176" s="18"/>
      <c r="AB176" s="18"/>
      <c r="AC176" s="18"/>
      <c r="AD176" s="18"/>
      <c r="AE176" s="18"/>
      <c r="AF176" s="18"/>
      <c r="AG176" s="149"/>
      <c r="AH176" s="48"/>
      <c r="AI176" s="6"/>
      <c r="AJ176" s="6"/>
      <c r="AL176" s="49" t="str">
        <f t="shared" si="104"/>
        <v>CALZ</v>
      </c>
      <c r="AM176" s="51">
        <f t="shared" si="104"/>
        <v>230.70000000000002</v>
      </c>
      <c r="AN176" s="51">
        <f t="shared" si="105"/>
        <v>97</v>
      </c>
      <c r="AO176" s="50">
        <f t="shared" si="106"/>
        <v>100</v>
      </c>
      <c r="AP176" s="183">
        <f t="shared" si="110"/>
        <v>68</v>
      </c>
      <c r="AQ176" s="52">
        <f t="shared" si="111"/>
        <v>-3</v>
      </c>
    </row>
    <row r="177" spans="1:43" s="159" customFormat="1" ht="18" customHeight="1" x14ac:dyDescent="0.25">
      <c r="A177" s="132" t="str">
        <f>Config!$B$24</f>
        <v>PUEB</v>
      </c>
      <c r="B177" s="127">
        <f>METAS!$AZ$110</f>
        <v>255.29999999999998</v>
      </c>
      <c r="C177" s="99">
        <f>ROUNDUP((B177/12)*Config!$C$6,0)</f>
        <v>107</v>
      </c>
      <c r="D177" s="127">
        <f>ACUMULADO!$BB$23</f>
        <v>9</v>
      </c>
      <c r="E177" s="190">
        <f t="shared" si="112"/>
        <v>100</v>
      </c>
      <c r="F177" s="138"/>
      <c r="G177" s="133">
        <f t="shared" si="115"/>
        <v>8.4</v>
      </c>
      <c r="H177" s="134">
        <f t="shared" si="107"/>
        <v>8.4</v>
      </c>
      <c r="I177" s="134" t="str">
        <f t="shared" si="108"/>
        <v/>
      </c>
      <c r="J177" s="135" t="str">
        <f t="shared" si="109"/>
        <v/>
      </c>
      <c r="K177" s="4"/>
      <c r="L177" s="48"/>
      <c r="M177" s="48"/>
      <c r="N177" s="48"/>
      <c r="O177" s="48"/>
      <c r="P177" s="48"/>
      <c r="Q177" s="48"/>
      <c r="R177" s="48"/>
      <c r="S177" s="48"/>
      <c r="T177" s="48"/>
      <c r="U177" s="158"/>
      <c r="W177" s="18"/>
      <c r="X177" s="18"/>
      <c r="Y177" s="18"/>
      <c r="Z177" s="158"/>
      <c r="AA177" s="18"/>
      <c r="AB177" s="18"/>
      <c r="AC177" s="18"/>
      <c r="AD177" s="18"/>
      <c r="AE177" s="18"/>
      <c r="AF177" s="18"/>
      <c r="AG177" s="149"/>
      <c r="AH177" s="48"/>
      <c r="AI177" s="6"/>
      <c r="AJ177" s="6"/>
      <c r="AL177" s="49" t="str">
        <f>A177</f>
        <v>PUEB</v>
      </c>
      <c r="AM177" s="51">
        <f t="shared" si="104"/>
        <v>255.29999999999998</v>
      </c>
      <c r="AN177" s="51">
        <f t="shared" si="105"/>
        <v>107</v>
      </c>
      <c r="AO177" s="50">
        <f t="shared" si="106"/>
        <v>100</v>
      </c>
      <c r="AP177" s="183">
        <f t="shared" si="110"/>
        <v>8.4</v>
      </c>
      <c r="AQ177" s="52">
        <f>AN177-AO177</f>
        <v>7</v>
      </c>
    </row>
    <row r="178" spans="1:43" s="159" customFormat="1" ht="18" customHeight="1" x14ac:dyDescent="0.25">
      <c r="A178" s="163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158"/>
      <c r="V178" s="94"/>
      <c r="W178" s="18"/>
      <c r="X178" s="18"/>
      <c r="Y178" s="18"/>
      <c r="Z178" s="158"/>
      <c r="AA178" s="18"/>
      <c r="AB178" s="18"/>
      <c r="AC178" s="18"/>
      <c r="AD178" s="18"/>
      <c r="AE178" s="18"/>
      <c r="AF178" s="18"/>
      <c r="AG178" s="149"/>
      <c r="AH178" s="48"/>
      <c r="AI178" s="48"/>
      <c r="AJ178" s="48"/>
      <c r="AO178" s="48"/>
      <c r="AP178" s="4"/>
    </row>
    <row r="179" spans="1:43" s="159" customFormat="1" ht="18" customHeight="1" x14ac:dyDescent="0.25">
      <c r="A179" s="163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158"/>
      <c r="V179" s="94"/>
      <c r="W179" s="18"/>
      <c r="X179" s="18"/>
      <c r="Y179" s="18"/>
      <c r="Z179" s="158"/>
      <c r="AA179" s="18"/>
      <c r="AB179" s="18"/>
      <c r="AC179" s="18"/>
      <c r="AD179" s="18"/>
      <c r="AE179" s="18"/>
      <c r="AF179" s="18"/>
      <c r="AG179" s="149"/>
      <c r="AH179" s="48"/>
      <c r="AI179" s="48"/>
      <c r="AJ179" s="48"/>
      <c r="AO179" s="48"/>
      <c r="AP179" s="4"/>
    </row>
    <row r="180" spans="1:43" s="159" customFormat="1" ht="18" customHeight="1" x14ac:dyDescent="0.25">
      <c r="A180" s="163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158"/>
      <c r="V180" s="94"/>
      <c r="W180" s="18"/>
      <c r="X180" s="18"/>
      <c r="Y180" s="18"/>
      <c r="Z180" s="158"/>
      <c r="AA180" s="18"/>
      <c r="AB180" s="18"/>
      <c r="AC180" s="18"/>
      <c r="AD180" s="18"/>
      <c r="AE180" s="18"/>
      <c r="AF180" s="18"/>
      <c r="AG180" s="149"/>
      <c r="AH180" s="48"/>
      <c r="AI180" s="48"/>
      <c r="AJ180" s="48"/>
      <c r="AO180" s="48"/>
      <c r="AP180" s="4"/>
    </row>
    <row r="181" spans="1:43" s="159" customFormat="1" ht="18" customHeight="1" x14ac:dyDescent="0.25">
      <c r="A181" s="163"/>
      <c r="H181" s="48"/>
      <c r="I181" s="48"/>
      <c r="J181" s="48"/>
      <c r="K181" s="105"/>
      <c r="L181" s="48"/>
      <c r="M181" s="48"/>
      <c r="N181" s="48"/>
      <c r="O181" s="48"/>
      <c r="P181" s="48"/>
      <c r="Q181" s="48"/>
      <c r="R181" s="48"/>
      <c r="S181" s="48"/>
      <c r="T181" s="48"/>
      <c r="U181" s="158"/>
      <c r="V181" s="94"/>
      <c r="W181" s="18"/>
      <c r="X181" s="18"/>
      <c r="Y181" s="18"/>
      <c r="Z181" s="158"/>
      <c r="AA181" s="18"/>
      <c r="AB181" s="18"/>
      <c r="AC181" s="18"/>
      <c r="AD181" s="18"/>
      <c r="AE181" s="18"/>
      <c r="AF181" s="18"/>
      <c r="AG181" s="149"/>
      <c r="AH181" s="48"/>
      <c r="AI181" s="48"/>
      <c r="AJ181" s="48"/>
      <c r="AO181" s="48"/>
      <c r="AP181" s="4"/>
    </row>
    <row r="182" spans="1:43" s="159" customFormat="1" ht="18" customHeight="1" x14ac:dyDescent="0.25">
      <c r="A182" s="163"/>
      <c r="H182" s="48"/>
      <c r="I182" s="48"/>
      <c r="J182" s="48"/>
      <c r="K182" s="105"/>
      <c r="L182" s="48"/>
      <c r="M182" s="48"/>
      <c r="N182" s="48"/>
      <c r="O182" s="48"/>
      <c r="P182" s="48"/>
      <c r="Q182" s="48"/>
      <c r="R182" s="48"/>
      <c r="S182" s="48"/>
      <c r="T182" s="48"/>
      <c r="U182" s="158"/>
      <c r="V182" s="94"/>
      <c r="W182" s="18"/>
      <c r="X182" s="18"/>
      <c r="Y182" s="18"/>
      <c r="Z182" s="158"/>
      <c r="AA182" s="18"/>
      <c r="AB182" s="18"/>
      <c r="AC182" s="18"/>
      <c r="AD182" s="18"/>
      <c r="AE182" s="18"/>
      <c r="AF182" s="18"/>
      <c r="AG182" s="149"/>
      <c r="AH182" s="48"/>
      <c r="AI182" s="48"/>
      <c r="AJ182" s="48"/>
      <c r="AO182" s="48"/>
      <c r="AP182" s="4"/>
    </row>
    <row r="183" spans="1:43" s="159" customFormat="1" ht="18" customHeight="1" x14ac:dyDescent="0.25">
      <c r="A183" s="5"/>
      <c r="B183" s="48"/>
      <c r="C183" s="101"/>
      <c r="D183" s="102"/>
      <c r="E183" s="102"/>
      <c r="F183" s="103"/>
      <c r="G183" s="103"/>
      <c r="H183" s="103"/>
      <c r="I183" s="186"/>
      <c r="J183" s="187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158"/>
      <c r="V183" s="94"/>
      <c r="W183" s="18"/>
      <c r="X183" s="18"/>
      <c r="Y183" s="18"/>
      <c r="Z183" s="158"/>
      <c r="AA183" s="18"/>
      <c r="AB183" s="18"/>
      <c r="AC183" s="18"/>
      <c r="AD183" s="18"/>
      <c r="AE183" s="18"/>
      <c r="AF183" s="18"/>
      <c r="AG183" s="149"/>
      <c r="AH183" s="48"/>
      <c r="AI183" s="48"/>
      <c r="AJ183" s="48"/>
      <c r="AO183" s="48"/>
      <c r="AP183" s="4"/>
    </row>
    <row r="184" spans="1:43" s="159" customFormat="1" ht="18" customHeight="1" x14ac:dyDescent="0.25">
      <c r="A184" s="5"/>
      <c r="B184" s="48"/>
      <c r="C184" s="101"/>
      <c r="D184" s="102"/>
      <c r="E184" s="102"/>
      <c r="F184" s="103"/>
      <c r="G184" s="103"/>
      <c r="H184" s="103"/>
      <c r="I184" s="186"/>
      <c r="J184" s="187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158"/>
      <c r="W184" s="18"/>
      <c r="X184" s="18"/>
      <c r="Y184" s="18"/>
      <c r="Z184" s="158"/>
      <c r="AA184" s="18"/>
      <c r="AB184" s="18"/>
      <c r="AC184" s="18"/>
      <c r="AD184" s="18"/>
      <c r="AE184" s="18"/>
      <c r="AF184" s="18"/>
      <c r="AG184" s="149"/>
      <c r="AH184" s="48"/>
      <c r="AI184" s="48"/>
      <c r="AJ184" s="48"/>
      <c r="AO184" s="48"/>
      <c r="AP184" s="4"/>
    </row>
    <row r="185" spans="1:43" s="159" customFormat="1" ht="18" customHeight="1" x14ac:dyDescent="0.25">
      <c r="A185" s="5"/>
      <c r="B185" s="48"/>
      <c r="C185" s="101"/>
      <c r="D185" s="102"/>
      <c r="E185" s="102"/>
      <c r="F185" s="103"/>
      <c r="G185" s="103"/>
      <c r="H185" s="103"/>
      <c r="I185" s="186"/>
      <c r="J185" s="187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158"/>
      <c r="W185" s="18"/>
      <c r="X185" s="18"/>
      <c r="Y185" s="18"/>
      <c r="Z185" s="158"/>
      <c r="AA185" s="18"/>
      <c r="AB185" s="18"/>
      <c r="AC185" s="18"/>
      <c r="AD185" s="18"/>
      <c r="AE185" s="18"/>
      <c r="AF185" s="18"/>
      <c r="AG185" s="149"/>
      <c r="AH185" s="48"/>
      <c r="AI185" s="48"/>
      <c r="AJ185" s="48"/>
      <c r="AO185" s="48"/>
      <c r="AP185" s="4"/>
    </row>
    <row r="186" spans="1:43" s="159" customFormat="1" ht="18" customHeight="1" x14ac:dyDescent="0.25">
      <c r="A186" s="5"/>
      <c r="B186" s="48"/>
      <c r="C186" s="101"/>
      <c r="D186" s="102"/>
      <c r="E186" s="102"/>
      <c r="F186" s="103"/>
      <c r="G186" s="103"/>
      <c r="H186" s="103"/>
      <c r="I186" s="186"/>
      <c r="J186" s="187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158"/>
      <c r="W186" s="18"/>
      <c r="X186" s="18"/>
      <c r="Y186" s="18"/>
      <c r="Z186" s="158"/>
      <c r="AA186" s="18"/>
      <c r="AB186" s="18"/>
      <c r="AC186" s="18"/>
      <c r="AD186" s="18"/>
      <c r="AE186" s="18"/>
      <c r="AF186" s="18"/>
      <c r="AG186" s="149"/>
      <c r="AH186" s="48"/>
      <c r="AI186" s="48"/>
      <c r="AJ186" s="48"/>
      <c r="AO186" s="48"/>
      <c r="AP186" s="4"/>
    </row>
    <row r="187" spans="1:43" s="159" customFormat="1" ht="18" customHeight="1" x14ac:dyDescent="0.25">
      <c r="A187" s="5" t="str">
        <f>METAS!$B$111</f>
        <v>NIÑOS DE 6 A 11 MESES DE EDAD CON DOSAJE DE HEMOGLOBINA</v>
      </c>
      <c r="B187" s="48"/>
      <c r="C187" s="101"/>
      <c r="D187" s="102"/>
      <c r="E187" s="102"/>
      <c r="F187" s="103"/>
      <c r="G187" s="103"/>
      <c r="H187" s="103"/>
      <c r="I187" s="189"/>
      <c r="J187" s="187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158"/>
      <c r="V187" s="98" t="str">
        <f>A187</f>
        <v>NIÑOS DE 6 A 11 MESES DE EDAD CON DOSAJE DE HEMOGLOBINA</v>
      </c>
      <c r="W187" s="18"/>
      <c r="X187" s="18"/>
      <c r="Y187" s="18"/>
      <c r="Z187" s="158"/>
      <c r="AA187" s="18"/>
      <c r="AB187" s="18"/>
      <c r="AC187" s="18"/>
      <c r="AD187" s="18"/>
      <c r="AE187" s="18"/>
      <c r="AF187" s="18"/>
      <c r="AG187" s="149"/>
      <c r="AH187" s="48"/>
      <c r="AI187" s="48"/>
      <c r="AJ187" s="48"/>
      <c r="AL187" s="48" t="str">
        <f t="shared" ref="AL187:AN198" si="116">A187</f>
        <v>NIÑOS DE 6 A 11 MESES DE EDAD CON DOSAJE DE HEMOGLOBINA</v>
      </c>
      <c r="AM187" s="48"/>
      <c r="AN187" s="48"/>
      <c r="AO187" s="48"/>
      <c r="AP187" s="4"/>
      <c r="AQ187" s="48"/>
    </row>
    <row r="188" spans="1:43" s="159" customFormat="1" ht="48" customHeight="1" thickBot="1" x14ac:dyDescent="0.3">
      <c r="A188" s="107" t="s">
        <v>2</v>
      </c>
      <c r="B188" s="108" t="s">
        <v>275</v>
      </c>
      <c r="C188" s="109" t="s">
        <v>192</v>
      </c>
      <c r="D188" s="108" t="s">
        <v>280</v>
      </c>
      <c r="E188" s="108" t="s">
        <v>1</v>
      </c>
      <c r="F188" s="110"/>
      <c r="G188" s="111" t="s">
        <v>121</v>
      </c>
      <c r="H188" s="112" t="str">
        <f>"DEFICIENTE &lt; = "&amp;$H$3</f>
        <v>DEFICIENTE &lt; = 90</v>
      </c>
      <c r="I188" s="112" t="str">
        <f>"PROCESO &gt; "&amp;$H$3&amp;"  -  &lt; "&amp;$I$3</f>
        <v>PROCESO &gt; 90  -  &lt; 100</v>
      </c>
      <c r="J188" s="112" t="str">
        <f>"OPTIMO &gt; = "&amp;$I$3</f>
        <v>OPTIMO &gt; = 100</v>
      </c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158"/>
      <c r="V188" s="137" t="str">
        <f>$V$1&amp;"  "&amp;V187&amp;"  "&amp;$V$3&amp;"  "&amp;$V$2</f>
        <v>RED. MOYOBAMBA:  NIÑOS DE 6 A 11 MESES DE EDAD CON DOSAJE DE HEMOGLOBINA  - POR MICROREDES :   ENERO - MAYO 2022</v>
      </c>
      <c r="W188" s="18"/>
      <c r="X188" s="18"/>
      <c r="Y188" s="18"/>
      <c r="Z188" s="158"/>
      <c r="AA188" s="18"/>
      <c r="AB188" s="18"/>
      <c r="AC188" s="18"/>
      <c r="AD188" s="18"/>
      <c r="AE188" s="18"/>
      <c r="AF188" s="18"/>
      <c r="AG188" s="149"/>
      <c r="AH188" s="48"/>
      <c r="AI188" s="48"/>
      <c r="AJ188" s="48"/>
      <c r="AL188" s="113" t="str">
        <f t="shared" si="116"/>
        <v>ESTABLECIMIENTOS</v>
      </c>
      <c r="AM188" s="114" t="str">
        <f t="shared" si="116"/>
        <v>Meta. Anual</v>
      </c>
      <c r="AN188" s="115" t="str">
        <f t="shared" si="116"/>
        <v>Pob. Suj</v>
      </c>
      <c r="AO188" s="116" t="str">
        <f t="shared" ref="AO188:AO197" si="117">G188</f>
        <v>%</v>
      </c>
      <c r="AP188" s="116" t="s">
        <v>17</v>
      </c>
      <c r="AQ188" s="117"/>
    </row>
    <row r="189" spans="1:43" s="159" customFormat="1" ht="18" customHeight="1" thickBot="1" x14ac:dyDescent="0.3">
      <c r="A189" s="118" t="str">
        <f>Config!$B$15</f>
        <v>RED</v>
      </c>
      <c r="B189" s="119">
        <f>SUM(B190:B198)</f>
        <v>1167</v>
      </c>
      <c r="C189" s="119">
        <f>SUM(C190:C198)</f>
        <v>491</v>
      </c>
      <c r="D189" s="119">
        <f>SUM(D190:D198)</f>
        <v>853</v>
      </c>
      <c r="E189" s="119">
        <f>Config!$D$9</f>
        <v>100</v>
      </c>
      <c r="F189" s="120"/>
      <c r="G189" s="119">
        <f>IFERROR(ROUND(D189*100/C189,1),0)</f>
        <v>173.7</v>
      </c>
      <c r="H189" s="121" t="str">
        <f t="shared" ref="H189:H198" si="118">IF(G189&lt;=$H$3,G189,"")</f>
        <v/>
      </c>
      <c r="I189" s="121" t="str">
        <f t="shared" ref="I189:I198" si="119">IF(G189&gt;$H$3,IF(G189&lt;$I$3,G189,""),"")</f>
        <v/>
      </c>
      <c r="J189" s="119">
        <f t="shared" ref="J189:J198" si="120">IF(G189&gt;=$I$3,G189,"")</f>
        <v>173.7</v>
      </c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158"/>
      <c r="V189" s="94"/>
      <c r="W189" s="18"/>
      <c r="X189" s="18"/>
      <c r="Y189" s="18"/>
      <c r="Z189" s="158"/>
      <c r="AA189" s="18"/>
      <c r="AB189" s="18"/>
      <c r="AC189" s="18"/>
      <c r="AD189" s="18"/>
      <c r="AE189" s="18"/>
      <c r="AF189" s="18"/>
      <c r="AG189" s="149"/>
      <c r="AH189" s="48"/>
      <c r="AI189" s="48"/>
      <c r="AJ189" s="48"/>
      <c r="AL189" s="123" t="str">
        <f t="shared" si="116"/>
        <v>RED</v>
      </c>
      <c r="AM189" s="124">
        <f t="shared" si="116"/>
        <v>1167</v>
      </c>
      <c r="AN189" s="125">
        <f t="shared" si="116"/>
        <v>491</v>
      </c>
      <c r="AO189" s="124">
        <f t="shared" si="117"/>
        <v>173.7</v>
      </c>
      <c r="AP189" s="125">
        <f t="shared" ref="AP189:AP197" si="121">AM189-AN189</f>
        <v>676</v>
      </c>
      <c r="AQ189" s="125"/>
    </row>
    <row r="190" spans="1:43" s="159" customFormat="1" ht="18" customHeight="1" x14ac:dyDescent="0.25">
      <c r="A190" s="132" t="str">
        <f>Config!$B$16</f>
        <v>HOSP</v>
      </c>
      <c r="B190" s="127">
        <f>METAS!$AR$111</f>
        <v>0</v>
      </c>
      <c r="C190" s="127">
        <f>ROUNDUP((B190/12)*Config!$C$6,0)</f>
        <v>0</v>
      </c>
      <c r="D190" s="127">
        <f>ACUMULADO!$AT$24</f>
        <v>0</v>
      </c>
      <c r="E190" s="190">
        <f>E189</f>
        <v>100</v>
      </c>
      <c r="F190" s="138"/>
      <c r="G190" s="133">
        <f>IFERROR(ROUND(D190*100/C190,1),0)</f>
        <v>0</v>
      </c>
      <c r="H190" s="134">
        <f t="shared" si="118"/>
        <v>0</v>
      </c>
      <c r="I190" s="134" t="str">
        <f t="shared" si="119"/>
        <v/>
      </c>
      <c r="J190" s="135" t="str">
        <f t="shared" si="120"/>
        <v/>
      </c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158"/>
      <c r="V190" s="98"/>
      <c r="W190" s="18"/>
      <c r="X190" s="18"/>
      <c r="Y190" s="18"/>
      <c r="Z190" s="158"/>
      <c r="AA190" s="18"/>
      <c r="AB190" s="18"/>
      <c r="AC190" s="18"/>
      <c r="AD190" s="18"/>
      <c r="AE190" s="18"/>
      <c r="AF190" s="18"/>
      <c r="AG190" s="149"/>
      <c r="AH190" s="48"/>
      <c r="AI190" s="48"/>
      <c r="AJ190" s="48"/>
      <c r="AL190" s="49" t="str">
        <f t="shared" si="116"/>
        <v>HOSP</v>
      </c>
      <c r="AM190" s="51">
        <f t="shared" si="116"/>
        <v>0</v>
      </c>
      <c r="AN190" s="50">
        <f t="shared" si="116"/>
        <v>0</v>
      </c>
      <c r="AO190" s="193">
        <f t="shared" si="117"/>
        <v>0</v>
      </c>
      <c r="AP190" s="52">
        <f t="shared" si="121"/>
        <v>0</v>
      </c>
      <c r="AQ190" s="52"/>
    </row>
    <row r="191" spans="1:43" s="159" customFormat="1" ht="18" customHeight="1" x14ac:dyDescent="0.25">
      <c r="A191" s="132" t="str">
        <f>Config!$B$17</f>
        <v>LLUI</v>
      </c>
      <c r="B191" s="127">
        <f>METAS!$AS$111</f>
        <v>483</v>
      </c>
      <c r="C191" s="99">
        <f>ROUNDUP((B191/12)*Config!$C$6,0)</f>
        <v>202</v>
      </c>
      <c r="D191" s="127">
        <f>ACUMULADO!$AU$24</f>
        <v>326</v>
      </c>
      <c r="E191" s="190">
        <f t="shared" ref="E191:E198" si="122">E190</f>
        <v>100</v>
      </c>
      <c r="F191" s="138"/>
      <c r="G191" s="133">
        <f>IFERROR(ROUND(D191*100/C191,1),0)</f>
        <v>161.4</v>
      </c>
      <c r="H191" s="134" t="str">
        <f t="shared" si="118"/>
        <v/>
      </c>
      <c r="I191" s="134" t="str">
        <f t="shared" si="119"/>
        <v/>
      </c>
      <c r="J191" s="135">
        <f t="shared" si="120"/>
        <v>161.4</v>
      </c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158"/>
      <c r="V191" s="98"/>
      <c r="W191" s="18"/>
      <c r="X191" s="18"/>
      <c r="Y191" s="18"/>
      <c r="Z191" s="158"/>
      <c r="AA191" s="18"/>
      <c r="AB191" s="18"/>
      <c r="AC191" s="18"/>
      <c r="AD191" s="18"/>
      <c r="AE191" s="18"/>
      <c r="AF191" s="18"/>
      <c r="AG191" s="149"/>
      <c r="AH191" s="48"/>
      <c r="AI191" s="48"/>
      <c r="AJ191" s="48"/>
      <c r="AL191" s="49" t="str">
        <f t="shared" si="116"/>
        <v>LLUI</v>
      </c>
      <c r="AM191" s="51">
        <f t="shared" si="116"/>
        <v>483</v>
      </c>
      <c r="AN191" s="50">
        <f t="shared" si="116"/>
        <v>202</v>
      </c>
      <c r="AO191" s="193">
        <f t="shared" si="117"/>
        <v>161.4</v>
      </c>
      <c r="AP191" s="52">
        <f t="shared" si="121"/>
        <v>281</v>
      </c>
      <c r="AQ191" s="52"/>
    </row>
    <row r="192" spans="1:43" s="159" customFormat="1" ht="18" customHeight="1" x14ac:dyDescent="0.25">
      <c r="A192" s="132" t="str">
        <f>Config!$B$18</f>
        <v>JERI</v>
      </c>
      <c r="B192" s="127">
        <f>METAS!$AT$111</f>
        <v>44</v>
      </c>
      <c r="C192" s="99">
        <f>ROUNDUP((B192/12)*Config!$C$6,0)</f>
        <v>19</v>
      </c>
      <c r="D192" s="127">
        <f>ACUMULADO!$AV$24</f>
        <v>37</v>
      </c>
      <c r="E192" s="190">
        <f t="shared" si="122"/>
        <v>100</v>
      </c>
      <c r="F192" s="138"/>
      <c r="G192" s="133">
        <f t="shared" ref="G192" si="123">IFERROR(ROUND(D192*100/C192,1),0)</f>
        <v>194.7</v>
      </c>
      <c r="H192" s="134" t="str">
        <f t="shared" si="118"/>
        <v/>
      </c>
      <c r="I192" s="134" t="str">
        <f t="shared" si="119"/>
        <v/>
      </c>
      <c r="J192" s="135">
        <f t="shared" si="120"/>
        <v>194.7</v>
      </c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158"/>
      <c r="V192" s="94"/>
      <c r="W192" s="18"/>
      <c r="X192" s="18"/>
      <c r="Y192" s="18"/>
      <c r="Z192" s="158"/>
      <c r="AA192" s="18"/>
      <c r="AB192" s="18"/>
      <c r="AC192" s="18"/>
      <c r="AD192" s="18"/>
      <c r="AE192" s="18"/>
      <c r="AF192" s="18"/>
      <c r="AG192" s="149"/>
      <c r="AH192" s="48"/>
      <c r="AI192" s="48"/>
      <c r="AJ192" s="48"/>
      <c r="AL192" s="49" t="str">
        <f t="shared" si="116"/>
        <v>JERI</v>
      </c>
      <c r="AM192" s="51">
        <f t="shared" si="116"/>
        <v>44</v>
      </c>
      <c r="AN192" s="50">
        <f t="shared" si="116"/>
        <v>19</v>
      </c>
      <c r="AO192" s="193">
        <f t="shared" si="117"/>
        <v>194.7</v>
      </c>
      <c r="AP192" s="52">
        <f t="shared" si="121"/>
        <v>25</v>
      </c>
      <c r="AQ192" s="52"/>
    </row>
    <row r="193" spans="1:43" s="159" customFormat="1" ht="18" customHeight="1" x14ac:dyDescent="0.25">
      <c r="A193" s="132" t="str">
        <f>Config!$B$19</f>
        <v>YANT</v>
      </c>
      <c r="B193" s="127">
        <f>METAS!$AU$111</f>
        <v>102</v>
      </c>
      <c r="C193" s="99">
        <f>ROUNDUP((B193/12)*Config!$C$6,0)</f>
        <v>43</v>
      </c>
      <c r="D193" s="127">
        <f>ACUMULADO!$AW$24</f>
        <v>34</v>
      </c>
      <c r="E193" s="190">
        <f t="shared" si="122"/>
        <v>100</v>
      </c>
      <c r="F193" s="138"/>
      <c r="G193" s="133">
        <f>IFERROR(ROUND(D193*100/C193,1),0)</f>
        <v>79.099999999999994</v>
      </c>
      <c r="H193" s="134">
        <f t="shared" si="118"/>
        <v>79.099999999999994</v>
      </c>
      <c r="I193" s="134" t="str">
        <f t="shared" si="119"/>
        <v/>
      </c>
      <c r="J193" s="135" t="str">
        <f t="shared" si="120"/>
        <v/>
      </c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158"/>
      <c r="V193" s="94"/>
      <c r="W193" s="18"/>
      <c r="X193" s="18"/>
      <c r="Y193" s="18"/>
      <c r="Z193" s="158"/>
      <c r="AA193" s="18"/>
      <c r="AB193" s="18"/>
      <c r="AC193" s="18"/>
      <c r="AD193" s="18"/>
      <c r="AE193" s="18"/>
      <c r="AF193" s="18"/>
      <c r="AG193" s="149"/>
      <c r="AH193" s="48"/>
      <c r="AI193" s="48"/>
      <c r="AJ193" s="48"/>
      <c r="AL193" s="49" t="str">
        <f t="shared" si="116"/>
        <v>YANT</v>
      </c>
      <c r="AM193" s="51">
        <f t="shared" si="116"/>
        <v>102</v>
      </c>
      <c r="AN193" s="50">
        <f t="shared" si="116"/>
        <v>43</v>
      </c>
      <c r="AO193" s="193">
        <f t="shared" si="117"/>
        <v>79.099999999999994</v>
      </c>
      <c r="AP193" s="52">
        <f t="shared" si="121"/>
        <v>59</v>
      </c>
      <c r="AQ193" s="52"/>
    </row>
    <row r="194" spans="1:43" s="159" customFormat="1" ht="18" customHeight="1" x14ac:dyDescent="0.25">
      <c r="A194" s="132" t="str">
        <f>Config!$B$20</f>
        <v>SORI</v>
      </c>
      <c r="B194" s="127">
        <f>METAS!$AV$111</f>
        <v>218</v>
      </c>
      <c r="C194" s="99">
        <f>ROUNDUP((B194/12)*Config!$C$6,0)</f>
        <v>91</v>
      </c>
      <c r="D194" s="127">
        <f>ACUMULADO!$AX$24</f>
        <v>209</v>
      </c>
      <c r="E194" s="190">
        <f t="shared" si="122"/>
        <v>100</v>
      </c>
      <c r="F194" s="138"/>
      <c r="G194" s="133">
        <f t="shared" ref="G194" si="124">IFERROR(ROUND(D194*100/C194,1),0)</f>
        <v>229.7</v>
      </c>
      <c r="H194" s="134" t="str">
        <f t="shared" si="118"/>
        <v/>
      </c>
      <c r="I194" s="134" t="str">
        <f t="shared" si="119"/>
        <v/>
      </c>
      <c r="J194" s="135">
        <f t="shared" si="120"/>
        <v>229.7</v>
      </c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158"/>
      <c r="V194" s="94"/>
      <c r="W194" s="18"/>
      <c r="X194" s="18"/>
      <c r="Y194" s="18"/>
      <c r="Z194" s="158"/>
      <c r="AA194" s="18"/>
      <c r="AB194" s="18"/>
      <c r="AC194" s="18"/>
      <c r="AD194" s="18"/>
      <c r="AE194" s="18"/>
      <c r="AF194" s="18"/>
      <c r="AG194" s="149"/>
      <c r="AH194" s="48"/>
      <c r="AI194" s="48"/>
      <c r="AJ194" s="48"/>
      <c r="AL194" s="49" t="str">
        <f t="shared" si="116"/>
        <v>SORI</v>
      </c>
      <c r="AM194" s="51">
        <f t="shared" si="116"/>
        <v>218</v>
      </c>
      <c r="AN194" s="50">
        <f t="shared" si="116"/>
        <v>91</v>
      </c>
      <c r="AO194" s="193">
        <f t="shared" si="117"/>
        <v>229.7</v>
      </c>
      <c r="AP194" s="52">
        <f t="shared" si="121"/>
        <v>127</v>
      </c>
      <c r="AQ194" s="52"/>
    </row>
    <row r="195" spans="1:43" s="159" customFormat="1" ht="18" customHeight="1" x14ac:dyDescent="0.25">
      <c r="A195" s="132" t="str">
        <f>Config!$B$21</f>
        <v>JEPE</v>
      </c>
      <c r="B195" s="127">
        <f>METAS!$AW$111</f>
        <v>88</v>
      </c>
      <c r="C195" s="99">
        <f>ROUNDUP((B195/12)*Config!$C$6,0)</f>
        <v>37</v>
      </c>
      <c r="D195" s="127">
        <f>ACUMULADO!$AY$24</f>
        <v>83</v>
      </c>
      <c r="E195" s="190">
        <f t="shared" si="122"/>
        <v>100</v>
      </c>
      <c r="F195" s="138"/>
      <c r="G195" s="133">
        <f>IFERROR(ROUND(D195*100/C195,1),0)</f>
        <v>224.3</v>
      </c>
      <c r="H195" s="134" t="str">
        <f t="shared" si="118"/>
        <v/>
      </c>
      <c r="I195" s="134" t="str">
        <f t="shared" si="119"/>
        <v/>
      </c>
      <c r="J195" s="135">
        <f t="shared" si="120"/>
        <v>224.3</v>
      </c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158"/>
      <c r="V195" s="94"/>
      <c r="W195" s="18"/>
      <c r="X195" s="18"/>
      <c r="Y195" s="18"/>
      <c r="Z195" s="158"/>
      <c r="AA195" s="18"/>
      <c r="AB195" s="18"/>
      <c r="AC195" s="18"/>
      <c r="AD195" s="18"/>
      <c r="AE195" s="18"/>
      <c r="AF195" s="18"/>
      <c r="AG195" s="149"/>
      <c r="AH195" s="48"/>
      <c r="AI195" s="48"/>
      <c r="AJ195" s="48"/>
      <c r="AL195" s="49" t="str">
        <f t="shared" si="116"/>
        <v>JEPE</v>
      </c>
      <c r="AM195" s="51">
        <f t="shared" si="116"/>
        <v>88</v>
      </c>
      <c r="AN195" s="50">
        <f t="shared" si="116"/>
        <v>37</v>
      </c>
      <c r="AO195" s="193">
        <f>G195</f>
        <v>224.3</v>
      </c>
      <c r="AP195" s="52">
        <f>AM195-AN195</f>
        <v>51</v>
      </c>
      <c r="AQ195" s="52"/>
    </row>
    <row r="196" spans="1:43" s="159" customFormat="1" ht="18" customHeight="1" x14ac:dyDescent="0.25">
      <c r="A196" s="132" t="str">
        <f>Config!$B$22</f>
        <v>ROQU</v>
      </c>
      <c r="B196" s="127">
        <f>METAS!$AX$111</f>
        <v>87</v>
      </c>
      <c r="C196" s="99">
        <f>ROUNDUP((B196/12)*Config!$C$6,0)</f>
        <v>37</v>
      </c>
      <c r="D196" s="127">
        <f>ACUMULADO!$AZ$24</f>
        <v>65</v>
      </c>
      <c r="E196" s="190">
        <f t="shared" si="122"/>
        <v>100</v>
      </c>
      <c r="F196" s="138"/>
      <c r="G196" s="133">
        <f>IFERROR(ROUND(D196*100/C196,1),0)</f>
        <v>175.7</v>
      </c>
      <c r="H196" s="134" t="str">
        <f t="shared" si="118"/>
        <v/>
      </c>
      <c r="I196" s="134" t="str">
        <f t="shared" si="119"/>
        <v/>
      </c>
      <c r="J196" s="135">
        <f t="shared" si="120"/>
        <v>175.7</v>
      </c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158"/>
      <c r="W196" s="18"/>
      <c r="X196" s="18"/>
      <c r="Y196" s="18"/>
      <c r="Z196" s="158"/>
      <c r="AA196" s="18"/>
      <c r="AB196" s="18"/>
      <c r="AC196" s="18"/>
      <c r="AD196" s="18"/>
      <c r="AE196" s="18"/>
      <c r="AF196" s="18"/>
      <c r="AG196" s="149"/>
      <c r="AH196" s="48"/>
      <c r="AI196" s="48"/>
      <c r="AJ196" s="48"/>
      <c r="AL196" s="49" t="str">
        <f t="shared" si="116"/>
        <v>ROQU</v>
      </c>
      <c r="AM196" s="51">
        <f t="shared" si="116"/>
        <v>87</v>
      </c>
      <c r="AN196" s="50">
        <f t="shared" si="116"/>
        <v>37</v>
      </c>
      <c r="AO196" s="193">
        <f>G196</f>
        <v>175.7</v>
      </c>
      <c r="AP196" s="52">
        <f>AM196-AN196</f>
        <v>50</v>
      </c>
      <c r="AQ196" s="52"/>
    </row>
    <row r="197" spans="1:43" s="159" customFormat="1" ht="18" customHeight="1" x14ac:dyDescent="0.25">
      <c r="A197" s="132" t="str">
        <f>Config!$B$23</f>
        <v>CALZ</v>
      </c>
      <c r="B197" s="127">
        <f>METAS!$AY$111</f>
        <v>68</v>
      </c>
      <c r="C197" s="99">
        <f>ROUNDUP((B197/12)*Config!$C$6,0)</f>
        <v>29</v>
      </c>
      <c r="D197" s="127">
        <f>ACUMULADO!$BA$24</f>
        <v>33</v>
      </c>
      <c r="E197" s="190">
        <f t="shared" si="122"/>
        <v>100</v>
      </c>
      <c r="F197" s="138"/>
      <c r="G197" s="133">
        <f t="shared" ref="G197:G198" si="125">IFERROR(ROUND(D197*100/C197,1),0)</f>
        <v>113.8</v>
      </c>
      <c r="H197" s="134" t="str">
        <f t="shared" si="118"/>
        <v/>
      </c>
      <c r="I197" s="134" t="str">
        <f t="shared" si="119"/>
        <v/>
      </c>
      <c r="J197" s="135">
        <f t="shared" si="120"/>
        <v>113.8</v>
      </c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158"/>
      <c r="V197" s="94"/>
      <c r="W197" s="18"/>
      <c r="X197" s="18"/>
      <c r="Y197" s="18"/>
      <c r="Z197" s="158"/>
      <c r="AA197" s="18"/>
      <c r="AB197" s="18"/>
      <c r="AC197" s="18"/>
      <c r="AD197" s="18"/>
      <c r="AE197" s="18"/>
      <c r="AF197" s="18"/>
      <c r="AG197" s="149"/>
      <c r="AH197" s="48"/>
      <c r="AI197" s="48"/>
      <c r="AJ197" s="48"/>
      <c r="AL197" s="49" t="str">
        <f t="shared" si="116"/>
        <v>CALZ</v>
      </c>
      <c r="AM197" s="51">
        <f t="shared" si="116"/>
        <v>68</v>
      </c>
      <c r="AN197" s="50">
        <f t="shared" si="116"/>
        <v>29</v>
      </c>
      <c r="AO197" s="193">
        <f t="shared" si="117"/>
        <v>113.8</v>
      </c>
      <c r="AP197" s="52">
        <f t="shared" si="121"/>
        <v>39</v>
      </c>
      <c r="AQ197" s="52"/>
    </row>
    <row r="198" spans="1:43" s="159" customFormat="1" ht="18" customHeight="1" x14ac:dyDescent="0.25">
      <c r="A198" s="132" t="str">
        <f>Config!$B$24</f>
        <v>PUEB</v>
      </c>
      <c r="B198" s="127">
        <f>METAS!$AZ$111</f>
        <v>77</v>
      </c>
      <c r="C198" s="99">
        <f>ROUNDUP((B198/12)*Config!$C$6,0)</f>
        <v>33</v>
      </c>
      <c r="D198" s="127">
        <f>ACUMULADO!$BB$24</f>
        <v>66</v>
      </c>
      <c r="E198" s="190">
        <f t="shared" si="122"/>
        <v>100</v>
      </c>
      <c r="F198" s="138"/>
      <c r="G198" s="133">
        <f t="shared" si="125"/>
        <v>200</v>
      </c>
      <c r="H198" s="134" t="str">
        <f t="shared" si="118"/>
        <v/>
      </c>
      <c r="I198" s="134" t="str">
        <f t="shared" si="119"/>
        <v/>
      </c>
      <c r="J198" s="135">
        <f t="shared" si="120"/>
        <v>200</v>
      </c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158"/>
      <c r="W198" s="18"/>
      <c r="X198" s="18"/>
      <c r="Y198" s="18"/>
      <c r="Z198" s="158"/>
      <c r="AA198" s="18"/>
      <c r="AB198" s="18"/>
      <c r="AC198" s="18"/>
      <c r="AD198" s="18"/>
      <c r="AE198" s="18"/>
      <c r="AF198" s="18"/>
      <c r="AG198" s="149"/>
      <c r="AH198" s="48"/>
      <c r="AI198" s="48"/>
      <c r="AJ198" s="48"/>
      <c r="AL198" s="49" t="str">
        <f>A198</f>
        <v>PUEB</v>
      </c>
      <c r="AM198" s="51">
        <f t="shared" si="116"/>
        <v>77</v>
      </c>
      <c r="AN198" s="50">
        <f t="shared" si="116"/>
        <v>33</v>
      </c>
      <c r="AO198" s="193">
        <f>G198</f>
        <v>200</v>
      </c>
      <c r="AP198" s="52">
        <f>AM198-AN198</f>
        <v>44</v>
      </c>
      <c r="AQ198" s="52"/>
    </row>
    <row r="199" spans="1:43" s="159" customFormat="1" ht="18" customHeight="1" x14ac:dyDescent="0.25">
      <c r="A199" s="163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158"/>
      <c r="V199" s="94"/>
      <c r="W199" s="18"/>
      <c r="X199" s="18"/>
      <c r="Y199" s="18"/>
      <c r="Z199" s="158"/>
      <c r="AA199" s="18"/>
      <c r="AB199" s="18"/>
      <c r="AC199" s="18"/>
      <c r="AD199" s="18"/>
      <c r="AE199" s="18"/>
      <c r="AF199" s="18"/>
      <c r="AG199" s="149"/>
      <c r="AH199" s="48"/>
      <c r="AI199" s="48"/>
      <c r="AJ199" s="48"/>
      <c r="AO199" s="48"/>
      <c r="AP199" s="4"/>
    </row>
    <row r="200" spans="1:43" s="159" customFormat="1" ht="18" customHeight="1" x14ac:dyDescent="0.25">
      <c r="A200" s="163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158"/>
      <c r="V200" s="94"/>
      <c r="W200" s="18"/>
      <c r="X200" s="18"/>
      <c r="Y200" s="18"/>
      <c r="Z200" s="158"/>
      <c r="AA200" s="18"/>
      <c r="AB200" s="18"/>
      <c r="AC200" s="18"/>
      <c r="AD200" s="18"/>
      <c r="AE200" s="18"/>
      <c r="AF200" s="18"/>
      <c r="AG200" s="149"/>
      <c r="AH200" s="48"/>
      <c r="AI200" s="48"/>
      <c r="AJ200" s="48"/>
      <c r="AO200" s="48"/>
      <c r="AP200" s="4"/>
    </row>
    <row r="201" spans="1:43" s="159" customFormat="1" ht="18" customHeight="1" x14ac:dyDescent="0.25">
      <c r="A201" s="163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158"/>
      <c r="V201" s="94"/>
      <c r="W201" s="18"/>
      <c r="X201" s="18"/>
      <c r="Y201" s="18"/>
      <c r="Z201" s="158"/>
      <c r="AA201" s="18"/>
      <c r="AB201" s="18"/>
      <c r="AC201" s="18"/>
      <c r="AD201" s="18"/>
      <c r="AE201" s="18"/>
      <c r="AF201" s="18"/>
      <c r="AG201" s="149"/>
      <c r="AH201" s="48"/>
      <c r="AI201" s="48"/>
      <c r="AJ201" s="48"/>
      <c r="AO201" s="48"/>
      <c r="AP201" s="4"/>
    </row>
    <row r="202" spans="1:43" s="159" customFormat="1" ht="18" customHeight="1" x14ac:dyDescent="0.25">
      <c r="A202" s="163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158"/>
      <c r="V202" s="94"/>
      <c r="W202" s="18"/>
      <c r="X202" s="18"/>
      <c r="Y202" s="18"/>
      <c r="Z202" s="158"/>
      <c r="AA202" s="18"/>
      <c r="AB202" s="18"/>
      <c r="AC202" s="18"/>
      <c r="AD202" s="18"/>
      <c r="AE202" s="18"/>
      <c r="AF202" s="18"/>
      <c r="AG202" s="149"/>
      <c r="AH202" s="48"/>
      <c r="AI202" s="48"/>
      <c r="AJ202" s="48"/>
      <c r="AO202" s="48"/>
      <c r="AP202" s="4"/>
    </row>
    <row r="203" spans="1:43" s="159" customFormat="1" ht="18" customHeight="1" x14ac:dyDescent="0.25">
      <c r="A203" s="163"/>
      <c r="H203" s="48"/>
      <c r="I203" s="48"/>
      <c r="J203" s="48"/>
      <c r="K203" s="105"/>
      <c r="L203" s="48"/>
      <c r="M203" s="48"/>
      <c r="N203" s="48"/>
      <c r="O203" s="48"/>
      <c r="P203" s="48"/>
      <c r="Q203" s="48"/>
      <c r="R203" s="48"/>
      <c r="S203" s="48"/>
      <c r="T203" s="48"/>
      <c r="U203" s="158"/>
      <c r="V203" s="94"/>
      <c r="W203" s="18"/>
      <c r="X203" s="18"/>
      <c r="Y203" s="18"/>
      <c r="Z203" s="158"/>
      <c r="AA203" s="18"/>
      <c r="AB203" s="18"/>
      <c r="AC203" s="18"/>
      <c r="AD203" s="18"/>
      <c r="AE203" s="18"/>
      <c r="AF203" s="18"/>
      <c r="AG203" s="149"/>
      <c r="AH203" s="48"/>
      <c r="AI203" s="48"/>
      <c r="AJ203" s="48"/>
      <c r="AO203" s="48"/>
      <c r="AP203" s="4"/>
    </row>
    <row r="204" spans="1:43" s="159" customFormat="1" ht="18" customHeight="1" x14ac:dyDescent="0.25">
      <c r="A204" s="163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158"/>
      <c r="V204" s="94"/>
      <c r="W204" s="18"/>
      <c r="X204" s="18"/>
      <c r="Y204" s="18"/>
      <c r="Z204" s="158"/>
      <c r="AA204" s="18"/>
      <c r="AB204" s="18"/>
      <c r="AC204" s="18"/>
      <c r="AD204" s="18"/>
      <c r="AE204" s="18"/>
      <c r="AF204" s="18"/>
      <c r="AG204" s="149"/>
      <c r="AH204" s="48"/>
      <c r="AI204" s="48"/>
      <c r="AJ204" s="48"/>
      <c r="AO204" s="48"/>
      <c r="AP204" s="4"/>
    </row>
    <row r="205" spans="1:43" s="159" customFormat="1" ht="18" customHeight="1" x14ac:dyDescent="0.25">
      <c r="A205" s="163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158"/>
      <c r="V205" s="94"/>
      <c r="W205" s="18"/>
      <c r="X205" s="18"/>
      <c r="Y205" s="18"/>
      <c r="Z205" s="158"/>
      <c r="AA205" s="18"/>
      <c r="AB205" s="18"/>
      <c r="AC205" s="18"/>
      <c r="AD205" s="18"/>
      <c r="AE205" s="18"/>
      <c r="AF205" s="18"/>
      <c r="AG205" s="149"/>
      <c r="AH205" s="48"/>
      <c r="AI205" s="48"/>
      <c r="AJ205" s="48"/>
      <c r="AO205" s="48"/>
      <c r="AP205" s="4"/>
    </row>
    <row r="206" spans="1:43" s="159" customFormat="1" ht="18" customHeight="1" x14ac:dyDescent="0.25">
      <c r="A206" s="163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158"/>
      <c r="V206" s="94"/>
      <c r="W206" s="18"/>
      <c r="X206" s="18"/>
      <c r="Y206" s="18"/>
      <c r="Z206" s="158"/>
      <c r="AA206" s="18"/>
      <c r="AB206" s="18"/>
      <c r="AC206" s="18"/>
      <c r="AD206" s="18"/>
      <c r="AE206" s="18"/>
      <c r="AF206" s="18"/>
      <c r="AG206" s="149"/>
      <c r="AH206" s="48"/>
      <c r="AI206" s="48"/>
      <c r="AJ206" s="48"/>
      <c r="AO206" s="48"/>
      <c r="AP206" s="4"/>
    </row>
    <row r="207" spans="1:43" s="159" customFormat="1" ht="18" customHeight="1" x14ac:dyDescent="0.25">
      <c r="A207" s="163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158"/>
      <c r="V207" s="94"/>
      <c r="W207" s="18"/>
      <c r="X207" s="18"/>
      <c r="Y207" s="18"/>
      <c r="Z207" s="158"/>
      <c r="AA207" s="18"/>
      <c r="AB207" s="18"/>
      <c r="AC207" s="18"/>
      <c r="AD207" s="18"/>
      <c r="AE207" s="18"/>
      <c r="AF207" s="18"/>
      <c r="AG207" s="149"/>
      <c r="AH207" s="48"/>
      <c r="AI207" s="48"/>
      <c r="AJ207" s="48"/>
      <c r="AO207" s="48"/>
      <c r="AP207" s="4"/>
    </row>
    <row r="208" spans="1:43" s="159" customFormat="1" ht="18" customHeight="1" x14ac:dyDescent="0.25">
      <c r="A208" s="163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158"/>
      <c r="V208" s="94"/>
      <c r="W208" s="18"/>
      <c r="X208" s="18"/>
      <c r="Y208" s="18"/>
      <c r="Z208" s="158"/>
      <c r="AA208" s="18"/>
      <c r="AB208" s="18"/>
      <c r="AC208" s="18"/>
      <c r="AD208" s="18"/>
      <c r="AE208" s="18"/>
      <c r="AF208" s="18"/>
      <c r="AG208" s="149"/>
      <c r="AH208" s="48"/>
      <c r="AI208" s="48"/>
      <c r="AJ208" s="48"/>
      <c r="AO208" s="48"/>
      <c r="AP208" s="4"/>
    </row>
    <row r="209" spans="1:43" s="159" customFormat="1" ht="18" customHeight="1" x14ac:dyDescent="0.25">
      <c r="A209" s="5" t="str">
        <f>METAS!$B$112</f>
        <v>NIÑOS DE 12 A 23 MESES DE EDAD CON DOSAJE DE HEMOGLOBINA</v>
      </c>
      <c r="B209" s="48"/>
      <c r="C209" s="101"/>
      <c r="D209" s="102"/>
      <c r="E209" s="102"/>
      <c r="F209" s="103"/>
      <c r="G209" s="103"/>
      <c r="H209" s="103"/>
      <c r="I209" s="189"/>
      <c r="J209" s="187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158"/>
      <c r="V209" s="98" t="str">
        <f>A209</f>
        <v>NIÑOS DE 12 A 23 MESES DE EDAD CON DOSAJE DE HEMOGLOBINA</v>
      </c>
      <c r="W209" s="18"/>
      <c r="X209" s="18"/>
      <c r="Y209" s="18"/>
      <c r="Z209" s="158"/>
      <c r="AA209" s="18"/>
      <c r="AB209" s="18"/>
      <c r="AC209" s="18"/>
      <c r="AD209" s="18"/>
      <c r="AE209" s="18"/>
      <c r="AF209" s="18"/>
      <c r="AG209" s="149"/>
      <c r="AH209" s="48"/>
      <c r="AI209" s="48"/>
      <c r="AJ209" s="48"/>
      <c r="AL209" s="48" t="str">
        <f t="shared" ref="AL209:AN220" si="126">A209</f>
        <v>NIÑOS DE 12 A 23 MESES DE EDAD CON DOSAJE DE HEMOGLOBINA</v>
      </c>
      <c r="AM209" s="48"/>
      <c r="AN209" s="48"/>
      <c r="AO209" s="48"/>
      <c r="AP209" s="4"/>
      <c r="AQ209" s="48"/>
    </row>
    <row r="210" spans="1:43" s="159" customFormat="1" ht="48" customHeight="1" thickBot="1" x14ac:dyDescent="0.3">
      <c r="A210" s="107" t="s">
        <v>2</v>
      </c>
      <c r="B210" s="108" t="s">
        <v>275</v>
      </c>
      <c r="C210" s="109" t="s">
        <v>192</v>
      </c>
      <c r="D210" s="108" t="s">
        <v>279</v>
      </c>
      <c r="E210" s="108" t="s">
        <v>1</v>
      </c>
      <c r="F210" s="110"/>
      <c r="G210" s="111" t="s">
        <v>121</v>
      </c>
      <c r="H210" s="112" t="str">
        <f>"DEFICIENTE &lt; = "&amp;$H$3</f>
        <v>DEFICIENTE &lt; = 90</v>
      </c>
      <c r="I210" s="112" t="str">
        <f>"PROCESO &gt; "&amp;$H$3&amp;"  -  &lt; "&amp;$I$3</f>
        <v>PROCESO &gt; 90  -  &lt; 100</v>
      </c>
      <c r="J210" s="112" t="str">
        <f>"OPTIMO &gt; = "&amp;$I$3</f>
        <v>OPTIMO &gt; = 100</v>
      </c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158"/>
      <c r="V210" s="137" t="str">
        <f>$V$1&amp;"  "&amp;V209&amp;"  "&amp;$V$3&amp;"  "&amp;$V$2</f>
        <v>RED. MOYOBAMBA:  NIÑOS DE 12 A 23 MESES DE EDAD CON DOSAJE DE HEMOGLOBINA  - POR MICROREDES :   ENERO - MAYO 2022</v>
      </c>
      <c r="W210" s="18"/>
      <c r="X210" s="18"/>
      <c r="Y210" s="18"/>
      <c r="Z210" s="158"/>
      <c r="AA210" s="18"/>
      <c r="AB210" s="18"/>
      <c r="AC210" s="18"/>
      <c r="AD210" s="18"/>
      <c r="AE210" s="18"/>
      <c r="AF210" s="18"/>
      <c r="AG210" s="149"/>
      <c r="AH210" s="48"/>
      <c r="AI210" s="48"/>
      <c r="AJ210" s="48"/>
      <c r="AL210" s="113" t="str">
        <f t="shared" si="126"/>
        <v>ESTABLECIMIENTOS</v>
      </c>
      <c r="AM210" s="114" t="str">
        <f t="shared" si="126"/>
        <v>Meta. Anual</v>
      </c>
      <c r="AN210" s="115" t="str">
        <f t="shared" si="126"/>
        <v>Pob. Suj</v>
      </c>
      <c r="AO210" s="116" t="str">
        <f t="shared" ref="AO210:AO219" si="127">G210</f>
        <v>%</v>
      </c>
      <c r="AP210" s="116" t="s">
        <v>17</v>
      </c>
      <c r="AQ210" s="117"/>
    </row>
    <row r="211" spans="1:43" s="159" customFormat="1" ht="18" customHeight="1" thickBot="1" x14ac:dyDescent="0.3">
      <c r="A211" s="118" t="str">
        <f>Config!$B$15</f>
        <v>RED</v>
      </c>
      <c r="B211" s="119">
        <f>SUM(B212:B220)</f>
        <v>2436</v>
      </c>
      <c r="C211" s="119">
        <f>SUM(C212:C220)</f>
        <v>1018</v>
      </c>
      <c r="D211" s="119">
        <f>SUM(D212:D220)</f>
        <v>1082</v>
      </c>
      <c r="E211" s="119">
        <f>Config!$D$9</f>
        <v>100</v>
      </c>
      <c r="F211" s="120"/>
      <c r="G211" s="119">
        <f>IFERROR(ROUND(D211*100/C211,1),0)</f>
        <v>106.3</v>
      </c>
      <c r="H211" s="121" t="str">
        <f t="shared" ref="H211:H220" si="128">IF(G211&lt;=$H$3,G211,"")</f>
        <v/>
      </c>
      <c r="I211" s="121" t="str">
        <f t="shared" ref="I211:I220" si="129">IF(G211&gt;$H$3,IF(G211&lt;$I$3,G211,""),"")</f>
        <v/>
      </c>
      <c r="J211" s="119">
        <f t="shared" ref="J211:J220" si="130">IF(G211&gt;=$I$3,G211,"")</f>
        <v>106.3</v>
      </c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158"/>
      <c r="W211" s="18"/>
      <c r="X211" s="18"/>
      <c r="Y211" s="18"/>
      <c r="Z211" s="158"/>
      <c r="AA211" s="18"/>
      <c r="AB211" s="18"/>
      <c r="AC211" s="18"/>
      <c r="AD211" s="18"/>
      <c r="AE211" s="18"/>
      <c r="AF211" s="18"/>
      <c r="AG211" s="149"/>
      <c r="AH211" s="48"/>
      <c r="AI211" s="48"/>
      <c r="AJ211" s="48"/>
      <c r="AL211" s="123" t="str">
        <f t="shared" si="126"/>
        <v>RED</v>
      </c>
      <c r="AM211" s="124">
        <f t="shared" si="126"/>
        <v>2436</v>
      </c>
      <c r="AN211" s="125">
        <f t="shared" si="126"/>
        <v>1018</v>
      </c>
      <c r="AO211" s="124">
        <f t="shared" si="127"/>
        <v>106.3</v>
      </c>
      <c r="AP211" s="125">
        <f t="shared" ref="AP211:AP219" si="131">AM211-AN211</f>
        <v>1418</v>
      </c>
      <c r="AQ211" s="125"/>
    </row>
    <row r="212" spans="1:43" s="159" customFormat="1" ht="18" customHeight="1" x14ac:dyDescent="0.25">
      <c r="A212" s="132" t="str">
        <f>Config!$B$16</f>
        <v>HOSP</v>
      </c>
      <c r="B212" s="127">
        <f>METAS!$AR$112</f>
        <v>0</v>
      </c>
      <c r="C212" s="127">
        <f>ROUNDUP((B212/12)*Config!$C$6,0)</f>
        <v>0</v>
      </c>
      <c r="D212" s="127">
        <f>ACUMULADO!$AT$25</f>
        <v>0</v>
      </c>
      <c r="E212" s="190">
        <f>E211</f>
        <v>100</v>
      </c>
      <c r="F212" s="138"/>
      <c r="G212" s="133">
        <f>IFERROR(ROUND(D212*100/C212,1),0)</f>
        <v>0</v>
      </c>
      <c r="H212" s="134">
        <f t="shared" si="128"/>
        <v>0</v>
      </c>
      <c r="I212" s="134" t="str">
        <f t="shared" si="129"/>
        <v/>
      </c>
      <c r="J212" s="135" t="str">
        <f t="shared" si="130"/>
        <v/>
      </c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158"/>
      <c r="V212" s="98"/>
      <c r="W212" s="18"/>
      <c r="X212" s="18"/>
      <c r="Y212" s="18"/>
      <c r="Z212" s="158"/>
      <c r="AA212" s="18"/>
      <c r="AB212" s="18"/>
      <c r="AC212" s="18"/>
      <c r="AD212" s="18"/>
      <c r="AE212" s="18"/>
      <c r="AF212" s="18"/>
      <c r="AG212" s="149"/>
      <c r="AH212" s="48"/>
      <c r="AI212" s="48"/>
      <c r="AJ212" s="48"/>
      <c r="AL212" s="49" t="str">
        <f t="shared" si="126"/>
        <v>HOSP</v>
      </c>
      <c r="AM212" s="51">
        <f t="shared" si="126"/>
        <v>0</v>
      </c>
      <c r="AN212" s="50">
        <f t="shared" si="126"/>
        <v>0</v>
      </c>
      <c r="AO212" s="193">
        <f t="shared" si="127"/>
        <v>0</v>
      </c>
      <c r="AP212" s="52">
        <f t="shared" si="131"/>
        <v>0</v>
      </c>
      <c r="AQ212" s="52"/>
    </row>
    <row r="213" spans="1:43" s="159" customFormat="1" ht="18" customHeight="1" x14ac:dyDescent="0.25">
      <c r="A213" s="132" t="str">
        <f>Config!$B$17</f>
        <v>LLUI</v>
      </c>
      <c r="B213" s="127">
        <f>METAS!$AS$112</f>
        <v>1010</v>
      </c>
      <c r="C213" s="99">
        <f>ROUNDUP((B213/12)*Config!$C$6,0)</f>
        <v>421</v>
      </c>
      <c r="D213" s="127">
        <f>ACUMULADO!$AU$25</f>
        <v>422</v>
      </c>
      <c r="E213" s="190">
        <f t="shared" ref="E213:E220" si="132">E212</f>
        <v>100</v>
      </c>
      <c r="F213" s="138"/>
      <c r="G213" s="133">
        <f>IFERROR(ROUND(D213*100/C213,1),0)</f>
        <v>100.2</v>
      </c>
      <c r="H213" s="134" t="str">
        <f t="shared" si="128"/>
        <v/>
      </c>
      <c r="I213" s="134" t="str">
        <f t="shared" si="129"/>
        <v/>
      </c>
      <c r="J213" s="135">
        <f t="shared" si="130"/>
        <v>100.2</v>
      </c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158"/>
      <c r="V213" s="98"/>
      <c r="W213" s="18"/>
      <c r="X213" s="18"/>
      <c r="Y213" s="18"/>
      <c r="Z213" s="158"/>
      <c r="AA213" s="18"/>
      <c r="AB213" s="18"/>
      <c r="AC213" s="18"/>
      <c r="AD213" s="18"/>
      <c r="AE213" s="18"/>
      <c r="AF213" s="18"/>
      <c r="AG213" s="149"/>
      <c r="AH213" s="48"/>
      <c r="AI213" s="48"/>
      <c r="AJ213" s="48"/>
      <c r="AL213" s="49" t="str">
        <f t="shared" si="126"/>
        <v>LLUI</v>
      </c>
      <c r="AM213" s="51">
        <f t="shared" si="126"/>
        <v>1010</v>
      </c>
      <c r="AN213" s="50">
        <f t="shared" si="126"/>
        <v>421</v>
      </c>
      <c r="AO213" s="193">
        <f t="shared" si="127"/>
        <v>100.2</v>
      </c>
      <c r="AP213" s="52">
        <f t="shared" si="131"/>
        <v>589</v>
      </c>
      <c r="AQ213" s="52"/>
    </row>
    <row r="214" spans="1:43" s="159" customFormat="1" x14ac:dyDescent="0.25">
      <c r="A214" s="132" t="str">
        <f>Config!$B$18</f>
        <v>JERI</v>
      </c>
      <c r="B214" s="127">
        <f>METAS!$AT$112</f>
        <v>97</v>
      </c>
      <c r="C214" s="99">
        <f>ROUNDUP((B214/12)*Config!$C$6,0)</f>
        <v>41</v>
      </c>
      <c r="D214" s="127">
        <f>ACUMULADO!$AV$25</f>
        <v>14</v>
      </c>
      <c r="E214" s="190">
        <f t="shared" si="132"/>
        <v>100</v>
      </c>
      <c r="F214" s="138"/>
      <c r="G214" s="133">
        <f t="shared" ref="G214" si="133">IFERROR(ROUND(D214*100/C214,1),0)</f>
        <v>34.1</v>
      </c>
      <c r="H214" s="134">
        <f t="shared" si="128"/>
        <v>34.1</v>
      </c>
      <c r="I214" s="134" t="str">
        <f t="shared" si="129"/>
        <v/>
      </c>
      <c r="J214" s="135" t="str">
        <f t="shared" si="130"/>
        <v/>
      </c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158"/>
      <c r="V214" s="94"/>
      <c r="W214" s="18"/>
      <c r="X214" s="18"/>
      <c r="Y214" s="18"/>
      <c r="Z214" s="158"/>
      <c r="AA214" s="18"/>
      <c r="AB214" s="18"/>
      <c r="AC214" s="18"/>
      <c r="AD214" s="18"/>
      <c r="AE214" s="18"/>
      <c r="AF214" s="18"/>
      <c r="AG214" s="149"/>
      <c r="AH214" s="48"/>
      <c r="AI214" s="48"/>
      <c r="AJ214" s="48"/>
      <c r="AL214" s="49" t="str">
        <f t="shared" si="126"/>
        <v>JERI</v>
      </c>
      <c r="AM214" s="51">
        <f t="shared" si="126"/>
        <v>97</v>
      </c>
      <c r="AN214" s="50">
        <f t="shared" si="126"/>
        <v>41</v>
      </c>
      <c r="AO214" s="193">
        <f t="shared" si="127"/>
        <v>34.1</v>
      </c>
      <c r="AP214" s="52">
        <f t="shared" si="131"/>
        <v>56</v>
      </c>
      <c r="AQ214" s="52"/>
    </row>
    <row r="215" spans="1:43" s="159" customFormat="1" ht="18" customHeight="1" x14ac:dyDescent="0.25">
      <c r="A215" s="132" t="str">
        <f>Config!$B$19</f>
        <v>YANT</v>
      </c>
      <c r="B215" s="127">
        <f>METAS!$AU$112</f>
        <v>181</v>
      </c>
      <c r="C215" s="99">
        <f>ROUNDUP((B215/12)*Config!$C$6,0)</f>
        <v>76</v>
      </c>
      <c r="D215" s="127">
        <f>ACUMULADO!$AW$25</f>
        <v>83</v>
      </c>
      <c r="E215" s="190">
        <f t="shared" si="132"/>
        <v>100</v>
      </c>
      <c r="F215" s="138"/>
      <c r="G215" s="133">
        <f>IFERROR(ROUND(D215*100/C215,1),0)</f>
        <v>109.2</v>
      </c>
      <c r="H215" s="134" t="str">
        <f t="shared" si="128"/>
        <v/>
      </c>
      <c r="I215" s="134" t="str">
        <f t="shared" si="129"/>
        <v/>
      </c>
      <c r="J215" s="135">
        <f t="shared" si="130"/>
        <v>109.2</v>
      </c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158"/>
      <c r="V215" s="94"/>
      <c r="W215" s="18"/>
      <c r="X215" s="18"/>
      <c r="Y215" s="18"/>
      <c r="Z215" s="158"/>
      <c r="AA215" s="18"/>
      <c r="AB215" s="18"/>
      <c r="AC215" s="18"/>
      <c r="AD215" s="18"/>
      <c r="AE215" s="18"/>
      <c r="AF215" s="18"/>
      <c r="AG215" s="149"/>
      <c r="AH215" s="48"/>
      <c r="AI215" s="48"/>
      <c r="AJ215" s="48"/>
      <c r="AL215" s="49" t="str">
        <f t="shared" si="126"/>
        <v>YANT</v>
      </c>
      <c r="AM215" s="51">
        <f t="shared" si="126"/>
        <v>181</v>
      </c>
      <c r="AN215" s="50">
        <f t="shared" si="126"/>
        <v>76</v>
      </c>
      <c r="AO215" s="193">
        <f t="shared" si="127"/>
        <v>109.2</v>
      </c>
      <c r="AP215" s="52">
        <f t="shared" si="131"/>
        <v>105</v>
      </c>
      <c r="AQ215" s="52"/>
    </row>
    <row r="216" spans="1:43" s="159" customFormat="1" ht="18" customHeight="1" x14ac:dyDescent="0.25">
      <c r="A216" s="132" t="str">
        <f>Config!$B$20</f>
        <v>SORI</v>
      </c>
      <c r="B216" s="127">
        <f>METAS!$AV$112</f>
        <v>483</v>
      </c>
      <c r="C216" s="99">
        <f>ROUNDUP((B216/12)*Config!$C$6,0)</f>
        <v>202</v>
      </c>
      <c r="D216" s="127">
        <f>ACUMULADO!$AX$25</f>
        <v>240</v>
      </c>
      <c r="E216" s="190">
        <f t="shared" si="132"/>
        <v>100</v>
      </c>
      <c r="F216" s="138"/>
      <c r="G216" s="133">
        <f t="shared" ref="G216" si="134">IFERROR(ROUND(D216*100/C216,1),0)</f>
        <v>118.8</v>
      </c>
      <c r="H216" s="134" t="str">
        <f t="shared" si="128"/>
        <v/>
      </c>
      <c r="I216" s="134" t="str">
        <f t="shared" si="129"/>
        <v/>
      </c>
      <c r="J216" s="135">
        <f t="shared" si="130"/>
        <v>118.8</v>
      </c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158"/>
      <c r="V216" s="94"/>
      <c r="W216" s="18"/>
      <c r="X216" s="18"/>
      <c r="Y216" s="18"/>
      <c r="Z216" s="158"/>
      <c r="AA216" s="18"/>
      <c r="AB216" s="18"/>
      <c r="AC216" s="18"/>
      <c r="AD216" s="18"/>
      <c r="AE216" s="18"/>
      <c r="AF216" s="18"/>
      <c r="AG216" s="149"/>
      <c r="AH216" s="48"/>
      <c r="AI216" s="48"/>
      <c r="AJ216" s="48"/>
      <c r="AL216" s="49" t="str">
        <f t="shared" si="126"/>
        <v>SORI</v>
      </c>
      <c r="AM216" s="51">
        <f t="shared" si="126"/>
        <v>483</v>
      </c>
      <c r="AN216" s="50">
        <f t="shared" si="126"/>
        <v>202</v>
      </c>
      <c r="AO216" s="193">
        <f t="shared" si="127"/>
        <v>118.8</v>
      </c>
      <c r="AP216" s="52">
        <f t="shared" si="131"/>
        <v>281</v>
      </c>
      <c r="AQ216" s="52"/>
    </row>
    <row r="217" spans="1:43" s="159" customFormat="1" ht="18" customHeight="1" x14ac:dyDescent="0.25">
      <c r="A217" s="132" t="str">
        <f>Config!$B$21</f>
        <v>JEPE</v>
      </c>
      <c r="B217" s="127">
        <f>METAS!$AW$112</f>
        <v>187</v>
      </c>
      <c r="C217" s="99">
        <f>ROUNDUP((B217/12)*Config!$C$6,0)</f>
        <v>78</v>
      </c>
      <c r="D217" s="127">
        <f>ACUMULADO!$AY$25</f>
        <v>131</v>
      </c>
      <c r="E217" s="190">
        <f t="shared" si="132"/>
        <v>100</v>
      </c>
      <c r="F217" s="138"/>
      <c r="G217" s="133">
        <f>IFERROR(ROUND(D217*100/C217,1),0)</f>
        <v>167.9</v>
      </c>
      <c r="H217" s="134" t="str">
        <f t="shared" si="128"/>
        <v/>
      </c>
      <c r="I217" s="134" t="str">
        <f t="shared" si="129"/>
        <v/>
      </c>
      <c r="J217" s="135">
        <f t="shared" si="130"/>
        <v>167.9</v>
      </c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158"/>
      <c r="V217" s="94"/>
      <c r="W217" s="18"/>
      <c r="X217" s="18"/>
      <c r="Y217" s="18"/>
      <c r="Z217" s="158"/>
      <c r="AA217" s="18"/>
      <c r="AB217" s="18"/>
      <c r="AC217" s="18"/>
      <c r="AD217" s="18"/>
      <c r="AE217" s="18"/>
      <c r="AF217" s="18"/>
      <c r="AG217" s="149"/>
      <c r="AH217" s="48"/>
      <c r="AI217" s="48"/>
      <c r="AJ217" s="48"/>
      <c r="AL217" s="49" t="str">
        <f t="shared" si="126"/>
        <v>JEPE</v>
      </c>
      <c r="AM217" s="51">
        <f t="shared" si="126"/>
        <v>187</v>
      </c>
      <c r="AN217" s="50">
        <f t="shared" si="126"/>
        <v>78</v>
      </c>
      <c r="AO217" s="193">
        <f>G217</f>
        <v>167.9</v>
      </c>
      <c r="AP217" s="52">
        <f>AM217-AN217</f>
        <v>109</v>
      </c>
      <c r="AQ217" s="52"/>
    </row>
    <row r="218" spans="1:43" s="159" customFormat="1" ht="18" customHeight="1" x14ac:dyDescent="0.25">
      <c r="A218" s="132" t="str">
        <f>Config!$B$22</f>
        <v>ROQU</v>
      </c>
      <c r="B218" s="127">
        <f>METAS!$AX$112</f>
        <v>167</v>
      </c>
      <c r="C218" s="99">
        <f>ROUNDUP((B218/12)*Config!$C$6,0)</f>
        <v>70</v>
      </c>
      <c r="D218" s="127">
        <f>ACUMULADO!$AZ$25</f>
        <v>86</v>
      </c>
      <c r="E218" s="190">
        <f t="shared" si="132"/>
        <v>100</v>
      </c>
      <c r="F218" s="138"/>
      <c r="G218" s="133">
        <f>IFERROR(ROUND(D218*100/C218,1),0)</f>
        <v>122.9</v>
      </c>
      <c r="H218" s="134" t="str">
        <f t="shared" si="128"/>
        <v/>
      </c>
      <c r="I218" s="134" t="str">
        <f t="shared" si="129"/>
        <v/>
      </c>
      <c r="J218" s="135">
        <f t="shared" si="130"/>
        <v>122.9</v>
      </c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158"/>
      <c r="W218" s="18"/>
      <c r="X218" s="18"/>
      <c r="Y218" s="18"/>
      <c r="Z218" s="158"/>
      <c r="AA218" s="18"/>
      <c r="AB218" s="18"/>
      <c r="AC218" s="18"/>
      <c r="AD218" s="18"/>
      <c r="AE218" s="18"/>
      <c r="AF218" s="18"/>
      <c r="AG218" s="149"/>
      <c r="AH218" s="48"/>
      <c r="AI218" s="48"/>
      <c r="AJ218" s="48"/>
      <c r="AL218" s="49" t="str">
        <f t="shared" si="126"/>
        <v>ROQU</v>
      </c>
      <c r="AM218" s="51">
        <f t="shared" si="126"/>
        <v>167</v>
      </c>
      <c r="AN218" s="50">
        <f t="shared" si="126"/>
        <v>70</v>
      </c>
      <c r="AO218" s="193">
        <f>G218</f>
        <v>122.9</v>
      </c>
      <c r="AP218" s="52">
        <f>AM218-AN218</f>
        <v>97</v>
      </c>
      <c r="AQ218" s="52"/>
    </row>
    <row r="219" spans="1:43" s="159" customFormat="1" ht="18" customHeight="1" x14ac:dyDescent="0.25">
      <c r="A219" s="132" t="str">
        <f>Config!$B$23</f>
        <v>CALZ</v>
      </c>
      <c r="B219" s="127">
        <f>METAS!$AY$112</f>
        <v>151</v>
      </c>
      <c r="C219" s="99">
        <f>ROUNDUP((B219/12)*Config!$C$6,0)</f>
        <v>63</v>
      </c>
      <c r="D219" s="127">
        <f>ACUMULADO!$BA$25</f>
        <v>49</v>
      </c>
      <c r="E219" s="190">
        <f t="shared" si="132"/>
        <v>100</v>
      </c>
      <c r="F219" s="138"/>
      <c r="G219" s="133">
        <f t="shared" ref="G219:G220" si="135">IFERROR(ROUND(D219*100/C219,1),0)</f>
        <v>77.8</v>
      </c>
      <c r="H219" s="134">
        <f t="shared" si="128"/>
        <v>77.8</v>
      </c>
      <c r="I219" s="134" t="str">
        <f t="shared" si="129"/>
        <v/>
      </c>
      <c r="J219" s="135" t="str">
        <f t="shared" si="130"/>
        <v/>
      </c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158"/>
      <c r="V219" s="94"/>
      <c r="W219" s="18"/>
      <c r="X219" s="18"/>
      <c r="Y219" s="18"/>
      <c r="Z219" s="158"/>
      <c r="AA219" s="18"/>
      <c r="AB219" s="18"/>
      <c r="AC219" s="18"/>
      <c r="AD219" s="18"/>
      <c r="AE219" s="18"/>
      <c r="AF219" s="18"/>
      <c r="AG219" s="149"/>
      <c r="AH219" s="48"/>
      <c r="AI219" s="48"/>
      <c r="AJ219" s="48"/>
      <c r="AL219" s="49" t="str">
        <f t="shared" si="126"/>
        <v>CALZ</v>
      </c>
      <c r="AM219" s="51">
        <f t="shared" si="126"/>
        <v>151</v>
      </c>
      <c r="AN219" s="50">
        <f t="shared" si="126"/>
        <v>63</v>
      </c>
      <c r="AO219" s="193">
        <f t="shared" si="127"/>
        <v>77.8</v>
      </c>
      <c r="AP219" s="52">
        <f t="shared" si="131"/>
        <v>88</v>
      </c>
      <c r="AQ219" s="52"/>
    </row>
    <row r="220" spans="1:43" s="159" customFormat="1" ht="18" customHeight="1" x14ac:dyDescent="0.25">
      <c r="A220" s="132" t="str">
        <f>Config!$B$24</f>
        <v>PUEB</v>
      </c>
      <c r="B220" s="127">
        <f>METAS!$AZ$112</f>
        <v>160</v>
      </c>
      <c r="C220" s="99">
        <f>ROUNDUP((B220/12)*Config!$C$6,0)</f>
        <v>67</v>
      </c>
      <c r="D220" s="127">
        <f>ACUMULADO!$BB$25</f>
        <v>57</v>
      </c>
      <c r="E220" s="190">
        <f t="shared" si="132"/>
        <v>100</v>
      </c>
      <c r="F220" s="138"/>
      <c r="G220" s="133">
        <f t="shared" si="135"/>
        <v>85.1</v>
      </c>
      <c r="H220" s="134">
        <f t="shared" si="128"/>
        <v>85.1</v>
      </c>
      <c r="I220" s="134" t="str">
        <f t="shared" si="129"/>
        <v/>
      </c>
      <c r="J220" s="135" t="str">
        <f t="shared" si="130"/>
        <v/>
      </c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158"/>
      <c r="W220" s="18"/>
      <c r="X220" s="18"/>
      <c r="Y220" s="18"/>
      <c r="Z220" s="158"/>
      <c r="AA220" s="18"/>
      <c r="AB220" s="18"/>
      <c r="AC220" s="18"/>
      <c r="AD220" s="18"/>
      <c r="AE220" s="18"/>
      <c r="AF220" s="18"/>
      <c r="AG220" s="149"/>
      <c r="AH220" s="48"/>
      <c r="AI220" s="48"/>
      <c r="AJ220" s="48"/>
      <c r="AL220" s="49" t="str">
        <f>A220</f>
        <v>PUEB</v>
      </c>
      <c r="AM220" s="51">
        <f t="shared" si="126"/>
        <v>160</v>
      </c>
      <c r="AN220" s="50">
        <f t="shared" si="126"/>
        <v>67</v>
      </c>
      <c r="AO220" s="193">
        <f>G220</f>
        <v>85.1</v>
      </c>
      <c r="AP220" s="52">
        <f>AM220-AN220</f>
        <v>93</v>
      </c>
      <c r="AQ220" s="52"/>
    </row>
    <row r="221" spans="1:43" s="159" customFormat="1" ht="18" customHeight="1" x14ac:dyDescent="0.25">
      <c r="A221" s="163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158"/>
      <c r="V221" s="94"/>
      <c r="W221" s="18"/>
      <c r="X221" s="18"/>
      <c r="Y221" s="18"/>
      <c r="Z221" s="158"/>
      <c r="AA221" s="18"/>
      <c r="AB221" s="18"/>
      <c r="AC221" s="18"/>
      <c r="AD221" s="18"/>
      <c r="AE221" s="18"/>
      <c r="AF221" s="18"/>
      <c r="AG221" s="149"/>
      <c r="AH221" s="48"/>
      <c r="AI221" s="48"/>
      <c r="AJ221" s="48"/>
      <c r="AO221" s="48"/>
      <c r="AP221" s="4"/>
    </row>
    <row r="222" spans="1:43" s="159" customFormat="1" ht="18" customHeight="1" x14ac:dyDescent="0.25">
      <c r="A222" s="163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158"/>
      <c r="V222" s="94"/>
      <c r="W222" s="18"/>
      <c r="X222" s="18"/>
      <c r="Y222" s="18"/>
      <c r="Z222" s="158"/>
      <c r="AA222" s="18"/>
      <c r="AB222" s="18"/>
      <c r="AC222" s="18"/>
      <c r="AD222" s="18"/>
      <c r="AE222" s="18"/>
      <c r="AF222" s="18"/>
      <c r="AG222" s="149"/>
      <c r="AH222" s="48"/>
      <c r="AI222" s="48"/>
      <c r="AJ222" s="48"/>
      <c r="AO222" s="48"/>
      <c r="AP222" s="4"/>
    </row>
    <row r="223" spans="1:43" s="159" customFormat="1" ht="18" customHeight="1" x14ac:dyDescent="0.25">
      <c r="A223" s="163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158"/>
      <c r="V223" s="94"/>
      <c r="W223" s="18"/>
      <c r="X223" s="18"/>
      <c r="Y223" s="18"/>
      <c r="Z223" s="158"/>
      <c r="AA223" s="18"/>
      <c r="AB223" s="18"/>
      <c r="AC223" s="18"/>
      <c r="AD223" s="18"/>
      <c r="AE223" s="18"/>
      <c r="AF223" s="18"/>
      <c r="AG223" s="149"/>
      <c r="AH223" s="48"/>
      <c r="AI223" s="48"/>
      <c r="AJ223" s="48"/>
      <c r="AO223" s="48"/>
      <c r="AP223" s="4"/>
    </row>
    <row r="224" spans="1:43" s="159" customFormat="1" ht="18" customHeight="1" x14ac:dyDescent="0.25">
      <c r="A224" s="163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158"/>
      <c r="V224" s="94"/>
      <c r="W224" s="18"/>
      <c r="X224" s="18"/>
      <c r="Y224" s="18"/>
      <c r="Z224" s="158"/>
      <c r="AA224" s="18"/>
      <c r="AB224" s="18"/>
      <c r="AC224" s="18"/>
      <c r="AD224" s="18"/>
      <c r="AE224" s="18"/>
      <c r="AF224" s="18"/>
      <c r="AG224" s="149"/>
      <c r="AH224" s="48"/>
      <c r="AI224" s="48"/>
      <c r="AJ224" s="48"/>
      <c r="AO224" s="48"/>
      <c r="AP224" s="4"/>
    </row>
    <row r="225" spans="1:43" s="159" customFormat="1" ht="18" customHeight="1" x14ac:dyDescent="0.25">
      <c r="A225" s="163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158"/>
      <c r="V225" s="94"/>
      <c r="W225" s="18"/>
      <c r="X225" s="18"/>
      <c r="Y225" s="18"/>
      <c r="Z225" s="158"/>
      <c r="AA225" s="18"/>
      <c r="AB225" s="18"/>
      <c r="AC225" s="18"/>
      <c r="AD225" s="18"/>
      <c r="AE225" s="18"/>
      <c r="AF225" s="18"/>
      <c r="AG225" s="149"/>
      <c r="AH225" s="48"/>
      <c r="AI225" s="48"/>
      <c r="AJ225" s="48"/>
      <c r="AO225" s="48"/>
      <c r="AP225" s="4"/>
    </row>
    <row r="226" spans="1:43" s="159" customFormat="1" ht="18" customHeight="1" x14ac:dyDescent="0.25">
      <c r="A226" s="163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158"/>
      <c r="V226" s="94"/>
      <c r="W226" s="18"/>
      <c r="X226" s="18"/>
      <c r="Y226" s="18"/>
      <c r="Z226" s="158"/>
      <c r="AA226" s="18"/>
      <c r="AB226" s="18"/>
      <c r="AC226" s="18"/>
      <c r="AD226" s="18"/>
      <c r="AE226" s="18"/>
      <c r="AF226" s="18"/>
      <c r="AG226" s="149"/>
      <c r="AH226" s="48"/>
      <c r="AI226" s="48"/>
      <c r="AJ226" s="48"/>
      <c r="AO226" s="48"/>
      <c r="AP226" s="4"/>
    </row>
    <row r="227" spans="1:43" s="159" customFormat="1" ht="18" customHeight="1" x14ac:dyDescent="0.25">
      <c r="A227" s="163"/>
      <c r="K227" s="48"/>
      <c r="L227" s="48"/>
      <c r="M227" s="48"/>
      <c r="N227" s="48"/>
      <c r="O227" s="48"/>
      <c r="P227" s="48"/>
      <c r="Q227" s="48"/>
      <c r="R227" s="48"/>
      <c r="S227" s="48"/>
      <c r="T227" s="18"/>
      <c r="U227" s="158"/>
      <c r="V227" s="1"/>
      <c r="W227" s="98"/>
      <c r="X227" s="18"/>
      <c r="Y227" s="18"/>
      <c r="Z227" s="18"/>
      <c r="AA227" s="18"/>
      <c r="AB227" s="18"/>
      <c r="AC227" s="18"/>
      <c r="AD227" s="18"/>
      <c r="AE227" s="18"/>
      <c r="AF227" s="18"/>
      <c r="AG227" s="149"/>
      <c r="AH227" s="48"/>
      <c r="AI227" s="48"/>
      <c r="AJ227" s="48"/>
      <c r="AO227" s="48"/>
      <c r="AP227" s="4"/>
    </row>
    <row r="228" spans="1:43" s="159" customFormat="1" ht="18" customHeight="1" x14ac:dyDescent="0.25">
      <c r="A228" s="5"/>
      <c r="B228" s="48"/>
      <c r="C228" s="101"/>
      <c r="D228" s="102"/>
      <c r="E228" s="102"/>
      <c r="F228" s="103"/>
      <c r="G228" s="103"/>
      <c r="H228" s="103"/>
      <c r="I228" s="186"/>
      <c r="J228" s="187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158"/>
      <c r="W228" s="18"/>
      <c r="X228" s="18"/>
      <c r="Y228" s="18"/>
      <c r="Z228" s="158"/>
      <c r="AA228" s="18"/>
      <c r="AB228" s="18"/>
      <c r="AC228" s="18"/>
      <c r="AD228" s="18"/>
      <c r="AE228" s="18"/>
      <c r="AF228" s="18"/>
      <c r="AG228" s="149"/>
      <c r="AH228" s="48"/>
      <c r="AI228" s="48"/>
      <c r="AJ228" s="48"/>
      <c r="AO228" s="48"/>
      <c r="AP228" s="4"/>
    </row>
    <row r="229" spans="1:43" s="159" customFormat="1" ht="18" customHeight="1" x14ac:dyDescent="0.25">
      <c r="A229" s="5" t="str">
        <f>METAS!$B$113</f>
        <v>NIÑOS DE 24 A 35 MESES DE EDAD CON DOSAJE DE HEMOGLOBINA</v>
      </c>
      <c r="B229" s="48"/>
      <c r="C229" s="101"/>
      <c r="D229" s="102"/>
      <c r="E229" s="102"/>
      <c r="F229" s="103"/>
      <c r="G229" s="103"/>
      <c r="H229" s="103"/>
      <c r="I229" s="189"/>
      <c r="J229" s="187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158"/>
      <c r="V229" s="98" t="str">
        <f>A229</f>
        <v>NIÑOS DE 24 A 35 MESES DE EDAD CON DOSAJE DE HEMOGLOBINA</v>
      </c>
      <c r="W229" s="18"/>
      <c r="X229" s="18"/>
      <c r="Y229" s="18"/>
      <c r="Z229" s="158"/>
      <c r="AA229" s="18"/>
      <c r="AB229" s="18"/>
      <c r="AC229" s="18"/>
      <c r="AD229" s="18"/>
      <c r="AE229" s="18"/>
      <c r="AF229" s="18"/>
      <c r="AG229" s="149"/>
      <c r="AH229" s="48"/>
      <c r="AI229" s="48"/>
      <c r="AJ229" s="48"/>
      <c r="AL229" s="48" t="str">
        <f t="shared" ref="AL229:AL239" si="136">A229</f>
        <v>NIÑOS DE 24 A 35 MESES DE EDAD CON DOSAJE DE HEMOGLOBINA</v>
      </c>
      <c r="AM229" s="48"/>
      <c r="AN229" s="48"/>
      <c r="AO229" s="48"/>
      <c r="AP229" s="4"/>
      <c r="AQ229" s="48"/>
    </row>
    <row r="230" spans="1:43" s="159" customFormat="1" ht="48" customHeight="1" thickBot="1" x14ac:dyDescent="0.3">
      <c r="A230" s="107" t="s">
        <v>2</v>
      </c>
      <c r="B230" s="108" t="s">
        <v>275</v>
      </c>
      <c r="C230" s="109" t="s">
        <v>192</v>
      </c>
      <c r="D230" s="108" t="s">
        <v>278</v>
      </c>
      <c r="E230" s="108" t="s">
        <v>1</v>
      </c>
      <c r="F230" s="110"/>
      <c r="G230" s="111" t="s">
        <v>121</v>
      </c>
      <c r="H230" s="112" t="str">
        <f>"DEFICIENTE &lt; = "&amp;$H$3</f>
        <v>DEFICIENTE &lt; = 90</v>
      </c>
      <c r="I230" s="112" t="str">
        <f>"PROCESO &gt; "&amp;$H$3&amp;"  -  &lt; "&amp;$I$3</f>
        <v>PROCESO &gt; 90  -  &lt; 100</v>
      </c>
      <c r="J230" s="112" t="str">
        <f>"OPTIMO &gt; = "&amp;$I$3</f>
        <v>OPTIMO &gt; = 100</v>
      </c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158"/>
      <c r="V230" s="137" t="str">
        <f>$V$1&amp;"  "&amp;V229&amp;"  "&amp;$V$3&amp;"  "&amp;$V$2</f>
        <v>RED. MOYOBAMBA:  NIÑOS DE 24 A 35 MESES DE EDAD CON DOSAJE DE HEMOGLOBINA  - POR MICROREDES :   ENERO - MAYO 2022</v>
      </c>
      <c r="W230" s="18"/>
      <c r="X230" s="18"/>
      <c r="Y230" s="18"/>
      <c r="Z230" s="158"/>
      <c r="AA230" s="18"/>
      <c r="AB230" s="18"/>
      <c r="AC230" s="18"/>
      <c r="AD230" s="18"/>
      <c r="AE230" s="18"/>
      <c r="AF230" s="18"/>
      <c r="AG230" s="149"/>
      <c r="AH230" s="48"/>
      <c r="AI230" s="48"/>
      <c r="AJ230" s="48"/>
      <c r="AL230" s="113" t="str">
        <f t="shared" si="136"/>
        <v>ESTABLECIMIENTOS</v>
      </c>
      <c r="AM230" s="114" t="str">
        <f t="shared" ref="AM230:AM240" si="137">B230</f>
        <v>Meta. Anual</v>
      </c>
      <c r="AN230" s="115" t="str">
        <f t="shared" ref="AN230:AN240" si="138">C230</f>
        <v>Pob. Suj</v>
      </c>
      <c r="AO230" s="116" t="str">
        <f t="shared" ref="AO230:AO236" si="139">G230</f>
        <v>%</v>
      </c>
      <c r="AP230" s="116" t="s">
        <v>17</v>
      </c>
      <c r="AQ230" s="117"/>
    </row>
    <row r="231" spans="1:43" s="159" customFormat="1" ht="18" customHeight="1" thickBot="1" x14ac:dyDescent="0.3">
      <c r="A231" s="118" t="str">
        <f>Config!$B$15</f>
        <v>RED</v>
      </c>
      <c r="B231" s="119">
        <f>SUM(B232:B240)</f>
        <v>2649</v>
      </c>
      <c r="C231" s="119">
        <f>SUM(C232:C240)</f>
        <v>1108</v>
      </c>
      <c r="D231" s="119">
        <f>SUM(D232:D240)</f>
        <v>661</v>
      </c>
      <c r="E231" s="119">
        <f>Config!$D$9</f>
        <v>100</v>
      </c>
      <c r="F231" s="120"/>
      <c r="G231" s="119">
        <f>IFERROR(ROUND(D231*100/C231,1),0)</f>
        <v>59.7</v>
      </c>
      <c r="H231" s="121">
        <f t="shared" ref="H231:H240" si="140">IF(G231&lt;=$H$3,G231,"")</f>
        <v>59.7</v>
      </c>
      <c r="I231" s="121" t="str">
        <f t="shared" ref="I231:I240" si="141">IF(G231&gt;$H$3,IF(G231&lt;$I$3,G231,""),"")</f>
        <v/>
      </c>
      <c r="J231" s="119" t="str">
        <f t="shared" ref="J231:J240" si="142">IF(G231&gt;=$I$3,G231,"")</f>
        <v/>
      </c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158"/>
      <c r="V231" s="94"/>
      <c r="W231" s="18"/>
      <c r="X231" s="18"/>
      <c r="Y231" s="18"/>
      <c r="Z231" s="158"/>
      <c r="AA231" s="18"/>
      <c r="AB231" s="18"/>
      <c r="AC231" s="18"/>
      <c r="AD231" s="18"/>
      <c r="AE231" s="18"/>
      <c r="AF231" s="18"/>
      <c r="AG231" s="149"/>
      <c r="AH231" s="48"/>
      <c r="AI231" s="48"/>
      <c r="AJ231" s="48"/>
      <c r="AL231" s="123" t="str">
        <f t="shared" si="136"/>
        <v>RED</v>
      </c>
      <c r="AM231" s="124">
        <f t="shared" si="137"/>
        <v>2649</v>
      </c>
      <c r="AN231" s="125">
        <f t="shared" si="138"/>
        <v>1108</v>
      </c>
      <c r="AO231" s="124">
        <f t="shared" si="139"/>
        <v>59.7</v>
      </c>
      <c r="AP231" s="125">
        <f t="shared" ref="AP231:AP236" si="143">AM231-AN231</f>
        <v>1541</v>
      </c>
      <c r="AQ231" s="125"/>
    </row>
    <row r="232" spans="1:43" s="159" customFormat="1" ht="18" customHeight="1" x14ac:dyDescent="0.25">
      <c r="A232" s="132" t="str">
        <f>Config!$B$16</f>
        <v>HOSP</v>
      </c>
      <c r="B232" s="127">
        <f>METAS!$AR$113</f>
        <v>0</v>
      </c>
      <c r="C232" s="127">
        <f>ROUNDUP((B232/12)*Config!$C$6,0)</f>
        <v>0</v>
      </c>
      <c r="D232" s="127">
        <f>ACUMULADO!$AT$26</f>
        <v>0</v>
      </c>
      <c r="E232" s="190">
        <f>E231</f>
        <v>100</v>
      </c>
      <c r="F232" s="138"/>
      <c r="G232" s="133">
        <f>IFERROR(ROUND(D232*100/C232,1),0)</f>
        <v>0</v>
      </c>
      <c r="H232" s="134">
        <f t="shared" si="140"/>
        <v>0</v>
      </c>
      <c r="I232" s="134" t="str">
        <f t="shared" si="141"/>
        <v/>
      </c>
      <c r="J232" s="135" t="str">
        <f t="shared" si="142"/>
        <v/>
      </c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158"/>
      <c r="V232" s="98"/>
      <c r="W232" s="18"/>
      <c r="X232" s="18"/>
      <c r="Y232" s="18"/>
      <c r="Z232" s="158"/>
      <c r="AA232" s="18"/>
      <c r="AB232" s="18"/>
      <c r="AC232" s="18"/>
      <c r="AD232" s="18"/>
      <c r="AE232" s="18"/>
      <c r="AF232" s="18"/>
      <c r="AG232" s="149"/>
      <c r="AH232" s="48"/>
      <c r="AI232" s="48"/>
      <c r="AJ232" s="48"/>
      <c r="AL232" s="49" t="str">
        <f t="shared" si="136"/>
        <v>HOSP</v>
      </c>
      <c r="AM232" s="51">
        <f t="shared" si="137"/>
        <v>0</v>
      </c>
      <c r="AN232" s="50">
        <f t="shared" si="138"/>
        <v>0</v>
      </c>
      <c r="AO232" s="193">
        <f t="shared" si="139"/>
        <v>0</v>
      </c>
      <c r="AP232" s="52">
        <f t="shared" si="143"/>
        <v>0</v>
      </c>
      <c r="AQ232" s="52"/>
    </row>
    <row r="233" spans="1:43" s="159" customFormat="1" ht="18" customHeight="1" x14ac:dyDescent="0.25">
      <c r="A233" s="132" t="str">
        <f>Config!$B$17</f>
        <v>LLUI</v>
      </c>
      <c r="B233" s="127">
        <f>METAS!$AS$113</f>
        <v>1096</v>
      </c>
      <c r="C233" s="99">
        <f>ROUNDUP((B233/12)*Config!$C$6,0)</f>
        <v>457</v>
      </c>
      <c r="D233" s="127">
        <f>ACUMULADO!$AU$26</f>
        <v>275</v>
      </c>
      <c r="E233" s="190">
        <f t="shared" ref="E233:E240" si="144">E232</f>
        <v>100</v>
      </c>
      <c r="F233" s="138"/>
      <c r="G233" s="133">
        <f>IFERROR(ROUND(D233*100/C233,1),0)</f>
        <v>60.2</v>
      </c>
      <c r="H233" s="134">
        <f t="shared" si="140"/>
        <v>60.2</v>
      </c>
      <c r="I233" s="134" t="str">
        <f t="shared" si="141"/>
        <v/>
      </c>
      <c r="J233" s="135" t="str">
        <f t="shared" si="142"/>
        <v/>
      </c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158"/>
      <c r="V233" s="98"/>
      <c r="W233" s="18"/>
      <c r="X233" s="18"/>
      <c r="Y233" s="18"/>
      <c r="Z233" s="158"/>
      <c r="AA233" s="18"/>
      <c r="AB233" s="18"/>
      <c r="AC233" s="18"/>
      <c r="AD233" s="18"/>
      <c r="AE233" s="18"/>
      <c r="AF233" s="18"/>
      <c r="AG233" s="149"/>
      <c r="AH233" s="48"/>
      <c r="AI233" s="48"/>
      <c r="AJ233" s="48"/>
      <c r="AL233" s="49" t="str">
        <f t="shared" si="136"/>
        <v>LLUI</v>
      </c>
      <c r="AM233" s="51">
        <f t="shared" si="137"/>
        <v>1096</v>
      </c>
      <c r="AN233" s="50">
        <f t="shared" si="138"/>
        <v>457</v>
      </c>
      <c r="AO233" s="193">
        <f t="shared" si="139"/>
        <v>60.2</v>
      </c>
      <c r="AP233" s="52">
        <f t="shared" si="143"/>
        <v>639</v>
      </c>
      <c r="AQ233" s="52"/>
    </row>
    <row r="234" spans="1:43" s="159" customFormat="1" ht="18" customHeight="1" x14ac:dyDescent="0.25">
      <c r="A234" s="132" t="str">
        <f>Config!$B$18</f>
        <v>JERI</v>
      </c>
      <c r="B234" s="127">
        <f>METAS!$AT$113</f>
        <v>112</v>
      </c>
      <c r="C234" s="99">
        <f>ROUNDUP((B234/12)*Config!$C$6,0)</f>
        <v>47</v>
      </c>
      <c r="D234" s="127">
        <f>ACUMULADO!$AV$26</f>
        <v>13</v>
      </c>
      <c r="E234" s="190">
        <f t="shared" si="144"/>
        <v>100</v>
      </c>
      <c r="F234" s="138"/>
      <c r="G234" s="133">
        <f t="shared" ref="G234" si="145">IFERROR(ROUND(D234*100/C234,1),0)</f>
        <v>27.7</v>
      </c>
      <c r="H234" s="134">
        <f t="shared" si="140"/>
        <v>27.7</v>
      </c>
      <c r="I234" s="134" t="str">
        <f t="shared" si="141"/>
        <v/>
      </c>
      <c r="J234" s="135" t="str">
        <f t="shared" si="142"/>
        <v/>
      </c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158"/>
      <c r="V234" s="94"/>
      <c r="W234" s="18"/>
      <c r="X234" s="18"/>
      <c r="Y234" s="18"/>
      <c r="Z234" s="158"/>
      <c r="AA234" s="18"/>
      <c r="AB234" s="18"/>
      <c r="AC234" s="18"/>
      <c r="AD234" s="18"/>
      <c r="AE234" s="18"/>
      <c r="AF234" s="18"/>
      <c r="AG234" s="149"/>
      <c r="AH234" s="48"/>
      <c r="AI234" s="48"/>
      <c r="AJ234" s="48"/>
      <c r="AL234" s="49" t="str">
        <f t="shared" si="136"/>
        <v>JERI</v>
      </c>
      <c r="AM234" s="51">
        <f t="shared" si="137"/>
        <v>112</v>
      </c>
      <c r="AN234" s="50">
        <f t="shared" si="138"/>
        <v>47</v>
      </c>
      <c r="AO234" s="193">
        <f t="shared" si="139"/>
        <v>27.7</v>
      </c>
      <c r="AP234" s="52">
        <f t="shared" si="143"/>
        <v>65</v>
      </c>
      <c r="AQ234" s="52"/>
    </row>
    <row r="235" spans="1:43" s="159" customFormat="1" ht="18" customHeight="1" x14ac:dyDescent="0.25">
      <c r="A235" s="132" t="str">
        <f>Config!$B$19</f>
        <v>YANT</v>
      </c>
      <c r="B235" s="127">
        <f>METAS!$AU$113</f>
        <v>191</v>
      </c>
      <c r="C235" s="99">
        <f>ROUNDUP((B235/12)*Config!$C$6,0)</f>
        <v>80</v>
      </c>
      <c r="D235" s="127">
        <f>ACUMULADO!$AW$26</f>
        <v>41</v>
      </c>
      <c r="E235" s="190">
        <f t="shared" si="144"/>
        <v>100</v>
      </c>
      <c r="F235" s="138"/>
      <c r="G235" s="133">
        <f>IFERROR(ROUND(D235*100/C235,1),0)</f>
        <v>51.3</v>
      </c>
      <c r="H235" s="134">
        <f t="shared" si="140"/>
        <v>51.3</v>
      </c>
      <c r="I235" s="134" t="str">
        <f t="shared" si="141"/>
        <v/>
      </c>
      <c r="J235" s="135" t="str">
        <f t="shared" si="142"/>
        <v/>
      </c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158"/>
      <c r="V235" s="94"/>
      <c r="W235" s="18"/>
      <c r="X235" s="18"/>
      <c r="Y235" s="18"/>
      <c r="Z235" s="158"/>
      <c r="AA235" s="18"/>
      <c r="AB235" s="18"/>
      <c r="AC235" s="18"/>
      <c r="AD235" s="18"/>
      <c r="AE235" s="18"/>
      <c r="AF235" s="18"/>
      <c r="AG235" s="149"/>
      <c r="AH235" s="48"/>
      <c r="AI235" s="48"/>
      <c r="AJ235" s="48"/>
      <c r="AL235" s="49" t="str">
        <f t="shared" si="136"/>
        <v>YANT</v>
      </c>
      <c r="AM235" s="51">
        <f t="shared" si="137"/>
        <v>191</v>
      </c>
      <c r="AN235" s="50">
        <f t="shared" si="138"/>
        <v>80</v>
      </c>
      <c r="AO235" s="193">
        <f t="shared" si="139"/>
        <v>51.3</v>
      </c>
      <c r="AP235" s="52">
        <f t="shared" si="143"/>
        <v>111</v>
      </c>
      <c r="AQ235" s="52"/>
    </row>
    <row r="236" spans="1:43" s="159" customFormat="1" ht="18" customHeight="1" x14ac:dyDescent="0.25">
      <c r="A236" s="132" t="str">
        <f>Config!$B$20</f>
        <v>SORI</v>
      </c>
      <c r="B236" s="127">
        <f>METAS!$AV$113</f>
        <v>505</v>
      </c>
      <c r="C236" s="99">
        <f>ROUNDUP((B236/12)*Config!$C$6,0)</f>
        <v>211</v>
      </c>
      <c r="D236" s="127">
        <f>ACUMULADO!$AX$26</f>
        <v>137</v>
      </c>
      <c r="E236" s="190">
        <f t="shared" si="144"/>
        <v>100</v>
      </c>
      <c r="F236" s="138"/>
      <c r="G236" s="133">
        <f t="shared" ref="G236" si="146">IFERROR(ROUND(D236*100/C236,1),0)</f>
        <v>64.900000000000006</v>
      </c>
      <c r="H236" s="134">
        <f t="shared" si="140"/>
        <v>64.900000000000006</v>
      </c>
      <c r="I236" s="134" t="str">
        <f t="shared" si="141"/>
        <v/>
      </c>
      <c r="J236" s="135" t="str">
        <f t="shared" si="142"/>
        <v/>
      </c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158"/>
      <c r="V236" s="94"/>
      <c r="W236" s="18"/>
      <c r="X236" s="18"/>
      <c r="Y236" s="18"/>
      <c r="Z236" s="158"/>
      <c r="AA236" s="18"/>
      <c r="AB236" s="18"/>
      <c r="AC236" s="18"/>
      <c r="AD236" s="18"/>
      <c r="AE236" s="18"/>
      <c r="AF236" s="18"/>
      <c r="AG236" s="149"/>
      <c r="AH236" s="48"/>
      <c r="AI236" s="48"/>
      <c r="AJ236" s="48"/>
      <c r="AL236" s="49" t="str">
        <f t="shared" si="136"/>
        <v>SORI</v>
      </c>
      <c r="AM236" s="51">
        <f t="shared" si="137"/>
        <v>505</v>
      </c>
      <c r="AN236" s="50">
        <f t="shared" si="138"/>
        <v>211</v>
      </c>
      <c r="AO236" s="193">
        <f t="shared" si="139"/>
        <v>64.900000000000006</v>
      </c>
      <c r="AP236" s="52">
        <f t="shared" si="143"/>
        <v>294</v>
      </c>
      <c r="AQ236" s="52"/>
    </row>
    <row r="237" spans="1:43" s="159" customFormat="1" ht="18" customHeight="1" x14ac:dyDescent="0.25">
      <c r="A237" s="132" t="str">
        <f>Config!$B$21</f>
        <v>JEPE</v>
      </c>
      <c r="B237" s="127">
        <f>METAS!$AW$113</f>
        <v>218</v>
      </c>
      <c r="C237" s="99">
        <f>ROUNDUP((B237/12)*Config!$C$6,0)</f>
        <v>91</v>
      </c>
      <c r="D237" s="127">
        <f>ACUMULADO!$AY$26</f>
        <v>63</v>
      </c>
      <c r="E237" s="190">
        <f t="shared" si="144"/>
        <v>100</v>
      </c>
      <c r="F237" s="138"/>
      <c r="G237" s="133">
        <f>IFERROR(ROUND(D237*100/C237,1),0)</f>
        <v>69.2</v>
      </c>
      <c r="H237" s="134">
        <f t="shared" si="140"/>
        <v>69.2</v>
      </c>
      <c r="I237" s="134" t="str">
        <f t="shared" si="141"/>
        <v/>
      </c>
      <c r="J237" s="135" t="str">
        <f t="shared" si="142"/>
        <v/>
      </c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158"/>
      <c r="V237" s="94"/>
      <c r="W237" s="18"/>
      <c r="X237" s="18"/>
      <c r="Y237" s="18"/>
      <c r="Z237" s="158"/>
      <c r="AA237" s="18"/>
      <c r="AB237" s="18"/>
      <c r="AC237" s="18"/>
      <c r="AD237" s="18"/>
      <c r="AE237" s="18"/>
      <c r="AF237" s="18"/>
      <c r="AG237" s="149"/>
      <c r="AH237" s="48"/>
      <c r="AI237" s="48"/>
      <c r="AJ237" s="48"/>
      <c r="AL237" s="49" t="str">
        <f t="shared" si="136"/>
        <v>JEPE</v>
      </c>
      <c r="AM237" s="51">
        <f t="shared" si="137"/>
        <v>218</v>
      </c>
      <c r="AN237" s="50">
        <f t="shared" si="138"/>
        <v>91</v>
      </c>
      <c r="AO237" s="193">
        <f>G237</f>
        <v>69.2</v>
      </c>
      <c r="AP237" s="52">
        <f>AM237-AN237</f>
        <v>127</v>
      </c>
      <c r="AQ237" s="52"/>
    </row>
    <row r="238" spans="1:43" s="159" customFormat="1" ht="18" customHeight="1" x14ac:dyDescent="0.25">
      <c r="A238" s="132" t="str">
        <f>Config!$B$22</f>
        <v>ROQU</v>
      </c>
      <c r="B238" s="127">
        <f>METAS!$AX$113</f>
        <v>195</v>
      </c>
      <c r="C238" s="99">
        <f>ROUNDUP((B238/12)*Config!$C$6,0)</f>
        <v>82</v>
      </c>
      <c r="D238" s="127">
        <f>ACUMULADO!$AZ$26</f>
        <v>58</v>
      </c>
      <c r="E238" s="190">
        <f t="shared" si="144"/>
        <v>100</v>
      </c>
      <c r="F238" s="138"/>
      <c r="G238" s="133">
        <f>IFERROR(ROUND(D238*100/C238,1),0)</f>
        <v>70.7</v>
      </c>
      <c r="H238" s="134">
        <f t="shared" si="140"/>
        <v>70.7</v>
      </c>
      <c r="I238" s="134" t="str">
        <f t="shared" si="141"/>
        <v/>
      </c>
      <c r="J238" s="135" t="str">
        <f t="shared" si="142"/>
        <v/>
      </c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158"/>
      <c r="W238" s="18"/>
      <c r="X238" s="18"/>
      <c r="Y238" s="18"/>
      <c r="Z238" s="158"/>
      <c r="AA238" s="18"/>
      <c r="AB238" s="18"/>
      <c r="AC238" s="18"/>
      <c r="AD238" s="18"/>
      <c r="AE238" s="18"/>
      <c r="AF238" s="18"/>
      <c r="AG238" s="149"/>
      <c r="AH238" s="48"/>
      <c r="AI238" s="48"/>
      <c r="AJ238" s="48"/>
      <c r="AL238" s="49" t="str">
        <f t="shared" si="136"/>
        <v>ROQU</v>
      </c>
      <c r="AM238" s="51">
        <f t="shared" si="137"/>
        <v>195</v>
      </c>
      <c r="AN238" s="50">
        <f t="shared" si="138"/>
        <v>82</v>
      </c>
      <c r="AO238" s="193">
        <f>G238</f>
        <v>70.7</v>
      </c>
      <c r="AP238" s="52">
        <f>AM238-AN238</f>
        <v>113</v>
      </c>
      <c r="AQ238" s="52"/>
    </row>
    <row r="239" spans="1:43" s="159" customFormat="1" ht="18" customHeight="1" x14ac:dyDescent="0.25">
      <c r="A239" s="132" t="str">
        <f>Config!$B$23</f>
        <v>CALZ</v>
      </c>
      <c r="B239" s="127">
        <f>METAS!$AY$113</f>
        <v>159</v>
      </c>
      <c r="C239" s="99">
        <f>ROUNDUP((B239/12)*Config!$C$6,0)</f>
        <v>67</v>
      </c>
      <c r="D239" s="127">
        <f>ACUMULADO!$BA$26</f>
        <v>38</v>
      </c>
      <c r="E239" s="190">
        <f t="shared" si="144"/>
        <v>100</v>
      </c>
      <c r="F239" s="138"/>
      <c r="G239" s="133">
        <f t="shared" ref="G239:G240" si="147">IFERROR(ROUND(D239*100/C239,1),0)</f>
        <v>56.7</v>
      </c>
      <c r="H239" s="134">
        <f t="shared" si="140"/>
        <v>56.7</v>
      </c>
      <c r="I239" s="134" t="str">
        <f t="shared" si="141"/>
        <v/>
      </c>
      <c r="J239" s="135" t="str">
        <f t="shared" si="142"/>
        <v/>
      </c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158"/>
      <c r="V239" s="94"/>
      <c r="W239" s="18"/>
      <c r="X239" s="18"/>
      <c r="Y239" s="18"/>
      <c r="Z239" s="158"/>
      <c r="AA239" s="18"/>
      <c r="AB239" s="18"/>
      <c r="AC239" s="18"/>
      <c r="AD239" s="18"/>
      <c r="AE239" s="18"/>
      <c r="AF239" s="18"/>
      <c r="AG239" s="149"/>
      <c r="AH239" s="48"/>
      <c r="AI239" s="48"/>
      <c r="AJ239" s="48"/>
      <c r="AL239" s="49" t="str">
        <f t="shared" si="136"/>
        <v>CALZ</v>
      </c>
      <c r="AM239" s="51">
        <f t="shared" si="137"/>
        <v>159</v>
      </c>
      <c r="AN239" s="50">
        <f t="shared" si="138"/>
        <v>67</v>
      </c>
      <c r="AO239" s="193">
        <f t="shared" ref="AO239" si="148">G239</f>
        <v>56.7</v>
      </c>
      <c r="AP239" s="52">
        <f t="shared" ref="AP239" si="149">AM239-AN239</f>
        <v>92</v>
      </c>
      <c r="AQ239" s="52"/>
    </row>
    <row r="240" spans="1:43" s="159" customFormat="1" ht="18" customHeight="1" x14ac:dyDescent="0.25">
      <c r="A240" s="132" t="str">
        <f>Config!$B$24</f>
        <v>PUEB</v>
      </c>
      <c r="B240" s="127">
        <f>METAS!$AZ$113</f>
        <v>173</v>
      </c>
      <c r="C240" s="99">
        <f>ROUNDUP((B240/12)*Config!$C$6,0)</f>
        <v>73</v>
      </c>
      <c r="D240" s="127">
        <f>ACUMULADO!$BB$26</f>
        <v>36</v>
      </c>
      <c r="E240" s="190">
        <f t="shared" si="144"/>
        <v>100</v>
      </c>
      <c r="F240" s="138"/>
      <c r="G240" s="133">
        <f t="shared" si="147"/>
        <v>49.3</v>
      </c>
      <c r="H240" s="134">
        <f t="shared" si="140"/>
        <v>49.3</v>
      </c>
      <c r="I240" s="134" t="str">
        <f t="shared" si="141"/>
        <v/>
      </c>
      <c r="J240" s="135" t="str">
        <f t="shared" si="142"/>
        <v/>
      </c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158"/>
      <c r="W240" s="18"/>
      <c r="X240" s="18"/>
      <c r="Y240" s="18"/>
      <c r="Z240" s="158"/>
      <c r="AA240" s="18"/>
      <c r="AB240" s="18"/>
      <c r="AC240" s="18"/>
      <c r="AD240" s="18"/>
      <c r="AE240" s="18"/>
      <c r="AF240" s="18"/>
      <c r="AG240" s="149"/>
      <c r="AH240" s="48"/>
      <c r="AI240" s="48"/>
      <c r="AJ240" s="48"/>
      <c r="AL240" s="49" t="str">
        <f>A240</f>
        <v>PUEB</v>
      </c>
      <c r="AM240" s="51">
        <f t="shared" si="137"/>
        <v>173</v>
      </c>
      <c r="AN240" s="50">
        <f t="shared" si="138"/>
        <v>73</v>
      </c>
      <c r="AO240" s="193">
        <f>G240</f>
        <v>49.3</v>
      </c>
      <c r="AP240" s="52">
        <f>AM240-AN240</f>
        <v>100</v>
      </c>
      <c r="AQ240" s="52"/>
    </row>
    <row r="241" spans="1:43" s="159" customFormat="1" ht="18" customHeight="1" x14ac:dyDescent="0.25">
      <c r="A241" s="163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158"/>
      <c r="V241" s="94"/>
      <c r="W241" s="18"/>
      <c r="X241" s="18"/>
      <c r="Y241" s="18"/>
      <c r="Z241" s="158"/>
      <c r="AA241" s="18"/>
      <c r="AB241" s="18"/>
      <c r="AC241" s="18"/>
      <c r="AD241" s="18"/>
      <c r="AE241" s="18"/>
      <c r="AF241" s="18"/>
      <c r="AG241" s="149"/>
      <c r="AH241" s="48"/>
      <c r="AI241" s="48"/>
      <c r="AJ241" s="48"/>
      <c r="AO241" s="48"/>
      <c r="AP241" s="4"/>
    </row>
    <row r="242" spans="1:43" s="159" customFormat="1" ht="18" customHeight="1" x14ac:dyDescent="0.25">
      <c r="A242" s="163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158"/>
      <c r="V242" s="94"/>
      <c r="W242" s="18"/>
      <c r="X242" s="18"/>
      <c r="Y242" s="18"/>
      <c r="Z242" s="158"/>
      <c r="AA242" s="18"/>
      <c r="AB242" s="18"/>
      <c r="AC242" s="18"/>
      <c r="AD242" s="18"/>
      <c r="AE242" s="18"/>
      <c r="AF242" s="18"/>
      <c r="AG242" s="149"/>
      <c r="AH242" s="48"/>
      <c r="AI242" s="48"/>
      <c r="AJ242" s="48"/>
      <c r="AO242" s="48"/>
      <c r="AP242" s="4"/>
    </row>
    <row r="243" spans="1:43" s="159" customFormat="1" ht="18" customHeight="1" x14ac:dyDescent="0.25">
      <c r="A243" s="163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158"/>
      <c r="V243" s="94"/>
      <c r="W243" s="18"/>
      <c r="X243" s="18"/>
      <c r="Y243" s="18"/>
      <c r="Z243" s="158"/>
      <c r="AA243" s="18"/>
      <c r="AB243" s="18"/>
      <c r="AC243" s="18"/>
      <c r="AD243" s="18"/>
      <c r="AE243" s="18"/>
      <c r="AF243" s="18"/>
      <c r="AG243" s="149"/>
      <c r="AH243" s="48"/>
      <c r="AI243" s="48"/>
      <c r="AJ243" s="48"/>
      <c r="AO243" s="48"/>
      <c r="AP243" s="4"/>
    </row>
    <row r="244" spans="1:43" s="159" customFormat="1" ht="18" customHeight="1" x14ac:dyDescent="0.25">
      <c r="A244" s="163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158"/>
      <c r="V244" s="94"/>
      <c r="W244" s="18"/>
      <c r="X244" s="18"/>
      <c r="Y244" s="18"/>
      <c r="Z244" s="158"/>
      <c r="AA244" s="18"/>
      <c r="AB244" s="18"/>
      <c r="AC244" s="18"/>
      <c r="AD244" s="18"/>
      <c r="AE244" s="18"/>
      <c r="AF244" s="18"/>
      <c r="AG244" s="149"/>
      <c r="AH244" s="48"/>
      <c r="AI244" s="48"/>
      <c r="AJ244" s="48"/>
      <c r="AO244" s="48"/>
      <c r="AP244" s="4"/>
    </row>
    <row r="245" spans="1:43" s="159" customFormat="1" ht="18" customHeight="1" x14ac:dyDescent="0.25">
      <c r="A245" s="163"/>
      <c r="H245" s="48"/>
      <c r="I245" s="48"/>
      <c r="J245" s="48"/>
      <c r="K245" s="105"/>
      <c r="L245" s="48"/>
      <c r="M245" s="48"/>
      <c r="N245" s="48"/>
      <c r="O245" s="48"/>
      <c r="P245" s="48"/>
      <c r="Q245" s="48"/>
      <c r="R245" s="48"/>
      <c r="S245" s="48"/>
      <c r="T245" s="48"/>
      <c r="U245" s="158"/>
      <c r="V245" s="94"/>
      <c r="W245" s="18"/>
      <c r="X245" s="18"/>
      <c r="Y245" s="18"/>
      <c r="Z245" s="158"/>
      <c r="AA245" s="18"/>
      <c r="AB245" s="18"/>
      <c r="AC245" s="18"/>
      <c r="AD245" s="18"/>
      <c r="AE245" s="18"/>
      <c r="AF245" s="18"/>
      <c r="AG245" s="149"/>
      <c r="AH245" s="48"/>
      <c r="AI245" s="48"/>
      <c r="AJ245" s="48"/>
      <c r="AO245" s="48"/>
      <c r="AP245" s="4"/>
    </row>
    <row r="246" spans="1:43" s="159" customFormat="1" ht="18" customHeight="1" x14ac:dyDescent="0.25">
      <c r="A246" s="163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158"/>
      <c r="V246" s="94"/>
      <c r="W246" s="18"/>
      <c r="X246" s="18"/>
      <c r="Y246" s="18"/>
      <c r="Z246" s="158"/>
      <c r="AA246" s="18"/>
      <c r="AB246" s="18"/>
      <c r="AC246" s="18"/>
      <c r="AD246" s="18"/>
      <c r="AE246" s="18"/>
      <c r="AF246" s="18"/>
      <c r="AG246" s="149"/>
      <c r="AH246" s="48"/>
      <c r="AI246" s="48"/>
      <c r="AJ246" s="48"/>
      <c r="AO246" s="48"/>
      <c r="AP246" s="4"/>
    </row>
    <row r="247" spans="1:43" s="159" customFormat="1" ht="18" customHeight="1" x14ac:dyDescent="0.25">
      <c r="A247" s="163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158"/>
      <c r="V247" s="94"/>
      <c r="W247" s="18"/>
      <c r="X247" s="18"/>
      <c r="Y247" s="18"/>
      <c r="Z247" s="158"/>
      <c r="AA247" s="18"/>
      <c r="AB247" s="18"/>
      <c r="AC247" s="18"/>
      <c r="AD247" s="18"/>
      <c r="AE247" s="18"/>
      <c r="AF247" s="18"/>
      <c r="AG247" s="149"/>
      <c r="AH247" s="48"/>
      <c r="AI247" s="48"/>
      <c r="AJ247" s="48"/>
      <c r="AO247" s="48"/>
      <c r="AP247" s="4"/>
    </row>
    <row r="248" spans="1:43" s="159" customFormat="1" ht="18" customHeight="1" x14ac:dyDescent="0.25">
      <c r="A248" s="163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158"/>
      <c r="V248" s="94"/>
      <c r="W248" s="18"/>
      <c r="X248" s="18"/>
      <c r="Y248" s="18"/>
      <c r="Z248" s="158"/>
      <c r="AA248" s="18"/>
      <c r="AB248" s="18"/>
      <c r="AC248" s="18"/>
      <c r="AD248" s="18"/>
      <c r="AE248" s="18"/>
      <c r="AF248" s="18"/>
      <c r="AG248" s="149"/>
      <c r="AH248" s="48"/>
      <c r="AI248" s="48"/>
      <c r="AJ248" s="48"/>
      <c r="AO248" s="48"/>
      <c r="AP248" s="4"/>
    </row>
    <row r="249" spans="1:43" s="159" customFormat="1" ht="18" customHeight="1" x14ac:dyDescent="0.25">
      <c r="A249" s="163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158"/>
      <c r="V249" s="94"/>
      <c r="W249" s="18"/>
      <c r="X249" s="18"/>
      <c r="Y249" s="18"/>
      <c r="Z249" s="158"/>
      <c r="AA249" s="18"/>
      <c r="AB249" s="18"/>
      <c r="AC249" s="18"/>
      <c r="AD249" s="18"/>
      <c r="AE249" s="18"/>
      <c r="AF249" s="18"/>
      <c r="AG249" s="149"/>
      <c r="AH249" s="48"/>
      <c r="AI249" s="48"/>
      <c r="AJ249" s="48"/>
      <c r="AO249" s="48"/>
      <c r="AP249" s="4"/>
    </row>
    <row r="250" spans="1:43" s="159" customFormat="1" ht="18" customHeight="1" x14ac:dyDescent="0.25">
      <c r="A250" s="163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158"/>
      <c r="V250" s="94"/>
      <c r="W250" s="18"/>
      <c r="X250" s="18"/>
      <c r="Y250" s="18"/>
      <c r="Z250" s="158"/>
      <c r="AA250" s="18"/>
      <c r="AB250" s="18"/>
      <c r="AC250" s="18"/>
      <c r="AD250" s="18"/>
      <c r="AE250" s="18"/>
      <c r="AF250" s="18"/>
      <c r="AG250" s="149"/>
      <c r="AH250" s="48"/>
      <c r="AI250" s="48"/>
      <c r="AJ250" s="48"/>
      <c r="AO250" s="48"/>
      <c r="AP250" s="4"/>
    </row>
    <row r="251" spans="1:43" s="159" customFormat="1" ht="18" customHeight="1" x14ac:dyDescent="0.25">
      <c r="A251" s="5" t="str">
        <f>METAS!$B$114</f>
        <v>NIÑOS DE 6 A 35 MESES DE EDAD CON DOSAJE DE HEMOGLOBINA</v>
      </c>
      <c r="B251" s="48"/>
      <c r="C251" s="101"/>
      <c r="D251" s="102"/>
      <c r="E251" s="102"/>
      <c r="F251" s="103"/>
      <c r="G251" s="103"/>
      <c r="H251" s="103"/>
      <c r="I251" s="189"/>
      <c r="J251" s="187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158"/>
      <c r="V251" s="98" t="str">
        <f>A251</f>
        <v>NIÑOS DE 6 A 35 MESES DE EDAD CON DOSAJE DE HEMOGLOBINA</v>
      </c>
      <c r="W251" s="18"/>
      <c r="X251" s="18"/>
      <c r="Y251" s="18"/>
      <c r="Z251" s="158"/>
      <c r="AA251" s="18"/>
      <c r="AB251" s="18"/>
      <c r="AC251" s="18"/>
      <c r="AD251" s="18"/>
      <c r="AE251" s="18"/>
      <c r="AF251" s="18"/>
      <c r="AG251" s="149"/>
      <c r="AH251" s="48"/>
      <c r="AI251" s="48"/>
      <c r="AJ251" s="48"/>
      <c r="AL251" s="48" t="str">
        <f t="shared" ref="AL251:AL261" si="150">A251</f>
        <v>NIÑOS DE 6 A 35 MESES DE EDAD CON DOSAJE DE HEMOGLOBINA</v>
      </c>
      <c r="AM251" s="48"/>
      <c r="AN251" s="48"/>
      <c r="AO251" s="48"/>
      <c r="AP251" s="4"/>
      <c r="AQ251" s="48"/>
    </row>
    <row r="252" spans="1:43" s="159" customFormat="1" ht="48" customHeight="1" thickBot="1" x14ac:dyDescent="0.3">
      <c r="A252" s="107" t="s">
        <v>2</v>
      </c>
      <c r="B252" s="108" t="s">
        <v>275</v>
      </c>
      <c r="C252" s="109" t="s">
        <v>192</v>
      </c>
      <c r="D252" s="108" t="s">
        <v>277</v>
      </c>
      <c r="E252" s="108" t="s">
        <v>1</v>
      </c>
      <c r="F252" s="110"/>
      <c r="G252" s="111" t="s">
        <v>11</v>
      </c>
      <c r="H252" s="112" t="str">
        <f>"DEFICIENTE &lt;= "&amp;$E$3</f>
        <v>DEFICIENTE &lt;= 37,5</v>
      </c>
      <c r="I252" s="112" t="str">
        <f>"PROCESO &gt; "&amp;$E$3&amp;"  -  &lt; "&amp;$F$3</f>
        <v>PROCESO &gt; 37,5  -  &lt; 41,7</v>
      </c>
      <c r="J252" s="112" t="str">
        <f>"OPTIMO &gt;= "&amp;$F$3</f>
        <v>OPTIMO &gt;= 41,7</v>
      </c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158"/>
      <c r="V252" s="137" t="str">
        <f>$V$1&amp;"  "&amp;V251&amp;"  "&amp;$V$3&amp;"  "&amp;$V$2</f>
        <v>RED. MOYOBAMBA:  NIÑOS DE 6 A 35 MESES DE EDAD CON DOSAJE DE HEMOGLOBINA  - POR MICROREDES :   ENERO - MAYO 2022</v>
      </c>
      <c r="W252" s="18"/>
      <c r="X252" s="18"/>
      <c r="Y252" s="18"/>
      <c r="Z252" s="158"/>
      <c r="AA252" s="18"/>
      <c r="AB252" s="18"/>
      <c r="AC252" s="18"/>
      <c r="AD252" s="18"/>
      <c r="AE252" s="18"/>
      <c r="AF252" s="18"/>
      <c r="AG252" s="149"/>
      <c r="AH252" s="48"/>
      <c r="AI252" s="48"/>
      <c r="AJ252" s="48"/>
      <c r="AL252" s="113" t="str">
        <f t="shared" si="150"/>
        <v>ESTABLECIMIENTOS</v>
      </c>
      <c r="AM252" s="114" t="str">
        <f t="shared" ref="AM252:AM262" si="151">B252</f>
        <v>Meta. Anual</v>
      </c>
      <c r="AN252" s="115" t="str">
        <f t="shared" ref="AN252:AN262" si="152">C252</f>
        <v>Pob. Suj</v>
      </c>
      <c r="AO252" s="116" t="str">
        <f t="shared" ref="AO252:AO258" si="153">G252</f>
        <v>% Mens</v>
      </c>
      <c r="AP252" s="116" t="s">
        <v>17</v>
      </c>
      <c r="AQ252" s="117"/>
    </row>
    <row r="253" spans="1:43" s="159" customFormat="1" ht="18" customHeight="1" thickBot="1" x14ac:dyDescent="0.3">
      <c r="A253" s="118" t="str">
        <f>Config!$B$15</f>
        <v>RED</v>
      </c>
      <c r="B253" s="119">
        <f>SUM(B254:B262)</f>
        <v>6252</v>
      </c>
      <c r="C253" s="119">
        <f>SUM(C254:C262)</f>
        <v>2609</v>
      </c>
      <c r="D253" s="119">
        <f>SUM(D254:D262)</f>
        <v>3082</v>
      </c>
      <c r="E253" s="120">
        <f>Config!$C$9</f>
        <v>41.666666666666671</v>
      </c>
      <c r="F253" s="120"/>
      <c r="G253" s="119">
        <f>IFERROR(ROUND(D253*100/B253,1),0)</f>
        <v>49.3</v>
      </c>
      <c r="H253" s="121" t="str">
        <f>IF(G253&lt;=$E$3,G253,"")</f>
        <v/>
      </c>
      <c r="I253" s="121" t="str">
        <f>IF(G253&gt;$E$3,IF(G253&lt;$F$3,G253,""),"")</f>
        <v/>
      </c>
      <c r="J253" s="119">
        <f>IF(G253&gt;=$F$3,G253,"")</f>
        <v>49.3</v>
      </c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158"/>
      <c r="W253" s="18"/>
      <c r="X253" s="18"/>
      <c r="Y253" s="18"/>
      <c r="Z253" s="158"/>
      <c r="AA253" s="18"/>
      <c r="AB253" s="18"/>
      <c r="AC253" s="18"/>
      <c r="AD253" s="18"/>
      <c r="AE253" s="18"/>
      <c r="AF253" s="18"/>
      <c r="AG253" s="149"/>
      <c r="AH253" s="48"/>
      <c r="AI253" s="48"/>
      <c r="AJ253" s="48"/>
      <c r="AL253" s="123" t="str">
        <f t="shared" si="150"/>
        <v>RED</v>
      </c>
      <c r="AM253" s="124">
        <f t="shared" si="151"/>
        <v>6252</v>
      </c>
      <c r="AN253" s="125">
        <f t="shared" si="152"/>
        <v>2609</v>
      </c>
      <c r="AO253" s="124">
        <f t="shared" si="153"/>
        <v>49.3</v>
      </c>
      <c r="AP253" s="125">
        <f t="shared" ref="AP253:AP258" si="154">AM253-AN253</f>
        <v>3643</v>
      </c>
      <c r="AQ253" s="125"/>
    </row>
    <row r="254" spans="1:43" s="159" customFormat="1" ht="18" hidden="1" customHeight="1" x14ac:dyDescent="0.25">
      <c r="A254" s="132" t="str">
        <f>Config!$B$16</f>
        <v>HOSP</v>
      </c>
      <c r="B254" s="127">
        <f>METAS!$AR$114</f>
        <v>0</v>
      </c>
      <c r="C254" s="127">
        <f>ROUNDUP((B254/12)*Config!$C$6,0)</f>
        <v>0</v>
      </c>
      <c r="D254" s="127">
        <f>ACUMULADO!$AT$27</f>
        <v>0</v>
      </c>
      <c r="E254" s="138">
        <f>E253</f>
        <v>41.666666666666671</v>
      </c>
      <c r="F254" s="138"/>
      <c r="G254" s="133">
        <f>IFERROR(ROUND(D254*100/B254,1),0)</f>
        <v>0</v>
      </c>
      <c r="H254" s="134">
        <f>IF(G254&lt;=$E$3,G254,"")</f>
        <v>0</v>
      </c>
      <c r="I254" s="134" t="str">
        <f>IF(G254&gt;$E$3,IF(G254&lt;$F$3,G254,""),"")</f>
        <v/>
      </c>
      <c r="J254" s="135" t="str">
        <f>IF(G254&gt;=$F$3,G254,"")</f>
        <v/>
      </c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158"/>
      <c r="V254" s="98"/>
      <c r="W254" s="18"/>
      <c r="X254" s="18"/>
      <c r="Y254" s="18"/>
      <c r="Z254" s="158"/>
      <c r="AA254" s="18"/>
      <c r="AB254" s="18"/>
      <c r="AC254" s="18"/>
      <c r="AD254" s="18"/>
      <c r="AE254" s="18"/>
      <c r="AF254" s="18"/>
      <c r="AG254" s="149"/>
      <c r="AH254" s="48"/>
      <c r="AI254" s="48"/>
      <c r="AJ254" s="48"/>
      <c r="AL254" s="49" t="str">
        <f t="shared" si="150"/>
        <v>HOSP</v>
      </c>
      <c r="AM254" s="51">
        <f t="shared" si="151"/>
        <v>0</v>
      </c>
      <c r="AN254" s="50">
        <f t="shared" si="152"/>
        <v>0</v>
      </c>
      <c r="AO254" s="193">
        <f t="shared" si="153"/>
        <v>0</v>
      </c>
      <c r="AP254" s="52">
        <f t="shared" si="154"/>
        <v>0</v>
      </c>
      <c r="AQ254" s="52"/>
    </row>
    <row r="255" spans="1:43" s="159" customFormat="1" ht="18" customHeight="1" x14ac:dyDescent="0.25">
      <c r="A255" s="132" t="str">
        <f>Config!$B$17</f>
        <v>LLUI</v>
      </c>
      <c r="B255" s="127">
        <f>METAS!$AS$114</f>
        <v>2589</v>
      </c>
      <c r="C255" s="99">
        <f>ROUNDUP((B255/12)*Config!$C$6,0)</f>
        <v>1079</v>
      </c>
      <c r="D255" s="127">
        <f>ACUMULADO!$AU$27</f>
        <v>1213</v>
      </c>
      <c r="E255" s="138">
        <f t="shared" ref="E255:E262" si="155">E254</f>
        <v>41.666666666666671</v>
      </c>
      <c r="F255" s="138"/>
      <c r="G255" s="133">
        <f>IFERROR(ROUND(D255*100/B255,1),0)</f>
        <v>46.9</v>
      </c>
      <c r="H255" s="134" t="str">
        <f t="shared" ref="H255:H262" si="156">IF(G255&lt;=$E$3,G255,"")</f>
        <v/>
      </c>
      <c r="I255" s="134" t="str">
        <f t="shared" ref="I255:I262" si="157">IF(G255&gt;$E$3,IF(G255&lt;$F$3,G255,""),"")</f>
        <v/>
      </c>
      <c r="J255" s="135">
        <f t="shared" ref="J255:J262" si="158">IF(G255&gt;=$F$3,G255,"")</f>
        <v>46.9</v>
      </c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158"/>
      <c r="V255" s="98"/>
      <c r="W255" s="18"/>
      <c r="X255" s="18"/>
      <c r="Y255" s="18"/>
      <c r="Z255" s="158"/>
      <c r="AA255" s="18"/>
      <c r="AB255" s="18"/>
      <c r="AC255" s="18"/>
      <c r="AD255" s="18"/>
      <c r="AE255" s="18"/>
      <c r="AF255" s="18"/>
      <c r="AG255" s="149"/>
      <c r="AH255" s="48"/>
      <c r="AI255" s="48"/>
      <c r="AJ255" s="48"/>
      <c r="AL255" s="49" t="str">
        <f t="shared" si="150"/>
        <v>LLUI</v>
      </c>
      <c r="AM255" s="51">
        <f t="shared" si="151"/>
        <v>2589</v>
      </c>
      <c r="AN255" s="50">
        <f t="shared" si="152"/>
        <v>1079</v>
      </c>
      <c r="AO255" s="193">
        <f t="shared" si="153"/>
        <v>46.9</v>
      </c>
      <c r="AP255" s="52">
        <f t="shared" si="154"/>
        <v>1510</v>
      </c>
      <c r="AQ255" s="52"/>
    </row>
    <row r="256" spans="1:43" s="159" customFormat="1" x14ac:dyDescent="0.25">
      <c r="A256" s="132" t="str">
        <f>Config!$B$18</f>
        <v>JERI</v>
      </c>
      <c r="B256" s="127">
        <f>METAS!$AT$114</f>
        <v>253</v>
      </c>
      <c r="C256" s="99">
        <f>ROUNDUP((B256/12)*Config!$C$6,0)</f>
        <v>106</v>
      </c>
      <c r="D256" s="127">
        <f>ACUMULADO!$AV$27</f>
        <v>93</v>
      </c>
      <c r="E256" s="138">
        <f t="shared" si="155"/>
        <v>41.666666666666671</v>
      </c>
      <c r="F256" s="138"/>
      <c r="G256" s="133">
        <f t="shared" ref="G256:G257" si="159">IFERROR(ROUND(D256*100/B256,1),0)</f>
        <v>36.799999999999997</v>
      </c>
      <c r="H256" s="134">
        <f t="shared" si="156"/>
        <v>36.799999999999997</v>
      </c>
      <c r="I256" s="134" t="str">
        <f t="shared" si="157"/>
        <v/>
      </c>
      <c r="J256" s="135" t="str">
        <f t="shared" si="158"/>
        <v/>
      </c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158"/>
      <c r="V256" s="94"/>
      <c r="W256" s="18"/>
      <c r="X256" s="18"/>
      <c r="Y256" s="18"/>
      <c r="Z256" s="158"/>
      <c r="AA256" s="18"/>
      <c r="AB256" s="18"/>
      <c r="AC256" s="18"/>
      <c r="AD256" s="18"/>
      <c r="AE256" s="18"/>
      <c r="AF256" s="18"/>
      <c r="AG256" s="149"/>
      <c r="AH256" s="48"/>
      <c r="AI256" s="48"/>
      <c r="AJ256" s="48"/>
      <c r="AL256" s="49" t="str">
        <f t="shared" si="150"/>
        <v>JERI</v>
      </c>
      <c r="AM256" s="51">
        <f t="shared" si="151"/>
        <v>253</v>
      </c>
      <c r="AN256" s="50">
        <f t="shared" si="152"/>
        <v>106</v>
      </c>
      <c r="AO256" s="193">
        <f t="shared" si="153"/>
        <v>36.799999999999997</v>
      </c>
      <c r="AP256" s="52">
        <f t="shared" si="154"/>
        <v>147</v>
      </c>
      <c r="AQ256" s="52"/>
    </row>
    <row r="257" spans="1:43" s="159" customFormat="1" ht="18" customHeight="1" x14ac:dyDescent="0.25">
      <c r="A257" s="132" t="str">
        <f>Config!$B$19</f>
        <v>YANT</v>
      </c>
      <c r="B257" s="127">
        <f>METAS!$AU$114</f>
        <v>474</v>
      </c>
      <c r="C257" s="99">
        <f>ROUNDUP((B257/12)*Config!$C$6,0)</f>
        <v>198</v>
      </c>
      <c r="D257" s="127">
        <f>ACUMULADO!$AW$27</f>
        <v>171</v>
      </c>
      <c r="E257" s="138">
        <f t="shared" si="155"/>
        <v>41.666666666666671</v>
      </c>
      <c r="F257" s="138"/>
      <c r="G257" s="133">
        <f t="shared" si="159"/>
        <v>36.1</v>
      </c>
      <c r="H257" s="134">
        <f t="shared" si="156"/>
        <v>36.1</v>
      </c>
      <c r="I257" s="134" t="str">
        <f t="shared" si="157"/>
        <v/>
      </c>
      <c r="J257" s="135" t="str">
        <f t="shared" si="158"/>
        <v/>
      </c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158"/>
      <c r="V257" s="94"/>
      <c r="W257" s="18"/>
      <c r="X257" s="18"/>
      <c r="Y257" s="18"/>
      <c r="Z257" s="158"/>
      <c r="AA257" s="18"/>
      <c r="AB257" s="18"/>
      <c r="AC257" s="18"/>
      <c r="AD257" s="18"/>
      <c r="AE257" s="18"/>
      <c r="AF257" s="18"/>
      <c r="AG257" s="149"/>
      <c r="AH257" s="48"/>
      <c r="AI257" s="48"/>
      <c r="AJ257" s="48"/>
      <c r="AL257" s="49" t="str">
        <f t="shared" si="150"/>
        <v>YANT</v>
      </c>
      <c r="AM257" s="51">
        <f t="shared" si="151"/>
        <v>474</v>
      </c>
      <c r="AN257" s="50">
        <f t="shared" si="152"/>
        <v>198</v>
      </c>
      <c r="AO257" s="193">
        <f t="shared" si="153"/>
        <v>36.1</v>
      </c>
      <c r="AP257" s="52">
        <f t="shared" si="154"/>
        <v>276</v>
      </c>
      <c r="AQ257" s="52"/>
    </row>
    <row r="258" spans="1:43" s="159" customFormat="1" ht="18" customHeight="1" x14ac:dyDescent="0.25">
      <c r="A258" s="132" t="str">
        <f>Config!$B$20</f>
        <v>SORI</v>
      </c>
      <c r="B258" s="127">
        <f>METAS!$AV$114</f>
        <v>1206</v>
      </c>
      <c r="C258" s="99">
        <f>ROUNDUP((B258/12)*Config!$C$6,0)</f>
        <v>503</v>
      </c>
      <c r="D258" s="127">
        <f>ACUMULADO!$AX$27</f>
        <v>716</v>
      </c>
      <c r="E258" s="138">
        <f t="shared" si="155"/>
        <v>41.666666666666671</v>
      </c>
      <c r="F258" s="138"/>
      <c r="G258" s="133">
        <f>IFERROR(ROUND(D258*100/B258,1),0)</f>
        <v>59.4</v>
      </c>
      <c r="H258" s="134" t="str">
        <f t="shared" si="156"/>
        <v/>
      </c>
      <c r="I258" s="134" t="str">
        <f t="shared" si="157"/>
        <v/>
      </c>
      <c r="J258" s="135">
        <f t="shared" si="158"/>
        <v>59.4</v>
      </c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158"/>
      <c r="V258" s="94"/>
      <c r="W258" s="18"/>
      <c r="X258" s="18"/>
      <c r="Y258" s="18"/>
      <c r="Z258" s="158"/>
      <c r="AA258" s="18"/>
      <c r="AB258" s="18"/>
      <c r="AC258" s="18"/>
      <c r="AD258" s="18"/>
      <c r="AE258" s="18"/>
      <c r="AF258" s="18"/>
      <c r="AG258" s="149"/>
      <c r="AH258" s="48"/>
      <c r="AI258" s="48"/>
      <c r="AJ258" s="48"/>
      <c r="AL258" s="49" t="str">
        <f t="shared" si="150"/>
        <v>SORI</v>
      </c>
      <c r="AM258" s="51">
        <f t="shared" si="151"/>
        <v>1206</v>
      </c>
      <c r="AN258" s="50">
        <f t="shared" si="152"/>
        <v>503</v>
      </c>
      <c r="AO258" s="193">
        <f t="shared" si="153"/>
        <v>59.4</v>
      </c>
      <c r="AP258" s="52">
        <f t="shared" si="154"/>
        <v>703</v>
      </c>
      <c r="AQ258" s="52"/>
    </row>
    <row r="259" spans="1:43" s="159" customFormat="1" ht="18" customHeight="1" x14ac:dyDescent="0.25">
      <c r="A259" s="132" t="str">
        <f>Config!$B$21</f>
        <v>JEPE</v>
      </c>
      <c r="B259" s="127">
        <f>METAS!$AW$114</f>
        <v>493</v>
      </c>
      <c r="C259" s="99">
        <f>ROUNDUP((B259/12)*Config!$C$6,0)</f>
        <v>206</v>
      </c>
      <c r="D259" s="127">
        <f>ACUMULADO!$AY$27</f>
        <v>292</v>
      </c>
      <c r="E259" s="138">
        <f t="shared" si="155"/>
        <v>41.666666666666671</v>
      </c>
      <c r="F259" s="138"/>
      <c r="G259" s="133">
        <f>IFERROR(ROUND(D259*100/B259,1),0)</f>
        <v>59.2</v>
      </c>
      <c r="H259" s="134" t="str">
        <f t="shared" si="156"/>
        <v/>
      </c>
      <c r="I259" s="134" t="str">
        <f t="shared" si="157"/>
        <v/>
      </c>
      <c r="J259" s="135">
        <f t="shared" si="158"/>
        <v>59.2</v>
      </c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158"/>
      <c r="V259" s="94"/>
      <c r="W259" s="18"/>
      <c r="X259" s="18"/>
      <c r="Y259" s="18"/>
      <c r="Z259" s="158"/>
      <c r="AA259" s="18"/>
      <c r="AB259" s="18"/>
      <c r="AC259" s="18"/>
      <c r="AD259" s="18"/>
      <c r="AE259" s="18"/>
      <c r="AF259" s="18"/>
      <c r="AG259" s="149"/>
      <c r="AH259" s="48"/>
      <c r="AI259" s="48"/>
      <c r="AJ259" s="48"/>
      <c r="AL259" s="49" t="str">
        <f t="shared" si="150"/>
        <v>JEPE</v>
      </c>
      <c r="AM259" s="51">
        <f t="shared" si="151"/>
        <v>493</v>
      </c>
      <c r="AN259" s="50">
        <f t="shared" si="152"/>
        <v>206</v>
      </c>
      <c r="AO259" s="193">
        <f>G259</f>
        <v>59.2</v>
      </c>
      <c r="AP259" s="52">
        <f>AM259-AN259</f>
        <v>287</v>
      </c>
      <c r="AQ259" s="52"/>
    </row>
    <row r="260" spans="1:43" s="159" customFormat="1" ht="18" customHeight="1" x14ac:dyDescent="0.25">
      <c r="A260" s="132" t="str">
        <f>Config!$B$22</f>
        <v>ROQU</v>
      </c>
      <c r="B260" s="127">
        <f>METAS!$AX$114</f>
        <v>449</v>
      </c>
      <c r="C260" s="99">
        <f>ROUNDUP((B260/12)*Config!$C$6,0)</f>
        <v>188</v>
      </c>
      <c r="D260" s="127">
        <f>ACUMULADO!$AZ$27</f>
        <v>253</v>
      </c>
      <c r="E260" s="138">
        <f t="shared" si="155"/>
        <v>41.666666666666671</v>
      </c>
      <c r="F260" s="138"/>
      <c r="G260" s="133">
        <f t="shared" ref="G260:G262" si="160">IFERROR(ROUND(D260*100/B260,1),0)</f>
        <v>56.3</v>
      </c>
      <c r="H260" s="134" t="str">
        <f t="shared" si="156"/>
        <v/>
      </c>
      <c r="I260" s="134" t="str">
        <f t="shared" si="157"/>
        <v/>
      </c>
      <c r="J260" s="135">
        <f t="shared" si="158"/>
        <v>56.3</v>
      </c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158"/>
      <c r="W260" s="18"/>
      <c r="X260" s="18"/>
      <c r="Y260" s="18"/>
      <c r="Z260" s="158"/>
      <c r="AA260" s="18"/>
      <c r="AB260" s="18"/>
      <c r="AC260" s="18"/>
      <c r="AD260" s="18"/>
      <c r="AE260" s="18"/>
      <c r="AF260" s="18"/>
      <c r="AG260" s="149"/>
      <c r="AH260" s="48"/>
      <c r="AI260" s="48"/>
      <c r="AJ260" s="48"/>
      <c r="AL260" s="49" t="str">
        <f t="shared" si="150"/>
        <v>ROQU</v>
      </c>
      <c r="AM260" s="51">
        <f t="shared" si="151"/>
        <v>449</v>
      </c>
      <c r="AN260" s="50">
        <f t="shared" si="152"/>
        <v>188</v>
      </c>
      <c r="AO260" s="193">
        <f>G260</f>
        <v>56.3</v>
      </c>
      <c r="AP260" s="52">
        <f>AM260-AN260</f>
        <v>261</v>
      </c>
      <c r="AQ260" s="52"/>
    </row>
    <row r="261" spans="1:43" s="159" customFormat="1" ht="18" customHeight="1" x14ac:dyDescent="0.25">
      <c r="A261" s="132" t="str">
        <f>Config!$B$23</f>
        <v>CALZ</v>
      </c>
      <c r="B261" s="127">
        <f>METAS!$AY$114</f>
        <v>378</v>
      </c>
      <c r="C261" s="99">
        <f>ROUNDUP((B261/12)*Config!$C$6,0)</f>
        <v>158</v>
      </c>
      <c r="D261" s="127">
        <f>ACUMULADO!$BA$27</f>
        <v>138</v>
      </c>
      <c r="E261" s="138">
        <f t="shared" si="155"/>
        <v>41.666666666666671</v>
      </c>
      <c r="F261" s="138"/>
      <c r="G261" s="133">
        <f t="shared" si="160"/>
        <v>36.5</v>
      </c>
      <c r="H261" s="134">
        <f t="shared" si="156"/>
        <v>36.5</v>
      </c>
      <c r="I261" s="134" t="str">
        <f t="shared" si="157"/>
        <v/>
      </c>
      <c r="J261" s="135" t="str">
        <f t="shared" si="158"/>
        <v/>
      </c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158"/>
      <c r="V261" s="94"/>
      <c r="W261" s="18"/>
      <c r="X261" s="18"/>
      <c r="Y261" s="18"/>
      <c r="Z261" s="158"/>
      <c r="AA261" s="18"/>
      <c r="AB261" s="18"/>
      <c r="AC261" s="18"/>
      <c r="AD261" s="18"/>
      <c r="AE261" s="18"/>
      <c r="AF261" s="18"/>
      <c r="AG261" s="149"/>
      <c r="AH261" s="48"/>
      <c r="AI261" s="48"/>
      <c r="AJ261" s="48"/>
      <c r="AL261" s="49" t="str">
        <f t="shared" si="150"/>
        <v>CALZ</v>
      </c>
      <c r="AM261" s="51">
        <f t="shared" si="151"/>
        <v>378</v>
      </c>
      <c r="AN261" s="50">
        <f t="shared" si="152"/>
        <v>158</v>
      </c>
      <c r="AO261" s="193">
        <f t="shared" ref="AO261" si="161">G261</f>
        <v>36.5</v>
      </c>
      <c r="AP261" s="52">
        <f t="shared" ref="AP261" si="162">AM261-AN261</f>
        <v>220</v>
      </c>
      <c r="AQ261" s="52"/>
    </row>
    <row r="262" spans="1:43" s="159" customFormat="1" ht="18" customHeight="1" x14ac:dyDescent="0.25">
      <c r="A262" s="132" t="str">
        <f>Config!$B$24</f>
        <v>PUEB</v>
      </c>
      <c r="B262" s="127">
        <f>METAS!$AZ$114</f>
        <v>410</v>
      </c>
      <c r="C262" s="99">
        <f>ROUNDUP((B262/12)*Config!$C$6,0)</f>
        <v>171</v>
      </c>
      <c r="D262" s="127">
        <f>ACUMULADO!$BB$27</f>
        <v>206</v>
      </c>
      <c r="E262" s="138">
        <f t="shared" si="155"/>
        <v>41.666666666666671</v>
      </c>
      <c r="F262" s="138"/>
      <c r="G262" s="133">
        <f t="shared" si="160"/>
        <v>50.2</v>
      </c>
      <c r="H262" s="134" t="str">
        <f t="shared" si="156"/>
        <v/>
      </c>
      <c r="I262" s="134" t="str">
        <f t="shared" si="157"/>
        <v/>
      </c>
      <c r="J262" s="135">
        <f t="shared" si="158"/>
        <v>50.2</v>
      </c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158"/>
      <c r="W262" s="18"/>
      <c r="X262" s="18"/>
      <c r="Y262" s="18"/>
      <c r="Z262" s="158"/>
      <c r="AA262" s="18"/>
      <c r="AB262" s="18"/>
      <c r="AC262" s="18"/>
      <c r="AD262" s="18"/>
      <c r="AE262" s="18"/>
      <c r="AF262" s="18"/>
      <c r="AG262" s="149"/>
      <c r="AH262" s="48"/>
      <c r="AI262" s="48"/>
      <c r="AJ262" s="48"/>
      <c r="AL262" s="49" t="str">
        <f>A262</f>
        <v>PUEB</v>
      </c>
      <c r="AM262" s="51">
        <f t="shared" si="151"/>
        <v>410</v>
      </c>
      <c r="AN262" s="50">
        <f t="shared" si="152"/>
        <v>171</v>
      </c>
      <c r="AO262" s="193">
        <f>G262</f>
        <v>50.2</v>
      </c>
      <c r="AP262" s="52">
        <f>AM262-AN262</f>
        <v>239</v>
      </c>
      <c r="AQ262" s="52"/>
    </row>
    <row r="263" spans="1:43" s="159" customFormat="1" ht="18" customHeight="1" x14ac:dyDescent="0.25">
      <c r="A263" s="163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158"/>
      <c r="V263" s="94"/>
      <c r="W263" s="18"/>
      <c r="X263" s="18"/>
      <c r="Y263" s="18"/>
      <c r="Z263" s="158"/>
      <c r="AA263" s="18"/>
      <c r="AB263" s="18"/>
      <c r="AC263" s="18"/>
      <c r="AD263" s="18"/>
      <c r="AE263" s="18"/>
      <c r="AF263" s="18"/>
      <c r="AG263" s="149"/>
      <c r="AH263" s="48"/>
      <c r="AI263" s="48"/>
      <c r="AJ263" s="48"/>
      <c r="AO263" s="48"/>
      <c r="AP263" s="4"/>
    </row>
    <row r="264" spans="1:43" s="159" customFormat="1" ht="18" customHeight="1" x14ac:dyDescent="0.25">
      <c r="A264" s="163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158"/>
      <c r="V264" s="94"/>
      <c r="W264" s="18"/>
      <c r="X264" s="18"/>
      <c r="Y264" s="18"/>
      <c r="Z264" s="158"/>
      <c r="AA264" s="18"/>
      <c r="AB264" s="18"/>
      <c r="AC264" s="18"/>
      <c r="AD264" s="18"/>
      <c r="AE264" s="18"/>
      <c r="AF264" s="18"/>
      <c r="AG264" s="149"/>
      <c r="AH264" s="48"/>
      <c r="AI264" s="48"/>
      <c r="AJ264" s="48"/>
      <c r="AO264" s="48"/>
      <c r="AP264" s="4"/>
    </row>
    <row r="265" spans="1:43" s="159" customFormat="1" ht="18" customHeight="1" x14ac:dyDescent="0.25">
      <c r="A265" s="163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158"/>
      <c r="V265" s="94"/>
      <c r="W265" s="18"/>
      <c r="X265" s="18"/>
      <c r="Y265" s="18"/>
      <c r="Z265" s="158"/>
      <c r="AA265" s="18"/>
      <c r="AB265" s="18"/>
      <c r="AC265" s="18"/>
      <c r="AD265" s="18"/>
      <c r="AE265" s="18"/>
      <c r="AF265" s="18"/>
      <c r="AG265" s="149"/>
      <c r="AH265" s="48"/>
      <c r="AI265" s="48"/>
      <c r="AJ265" s="48"/>
      <c r="AO265" s="48"/>
      <c r="AP265" s="4"/>
    </row>
    <row r="266" spans="1:43" s="159" customFormat="1" ht="18" customHeight="1" x14ac:dyDescent="0.25">
      <c r="A266" s="163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158"/>
      <c r="V266" s="94"/>
      <c r="W266" s="18"/>
      <c r="X266" s="18"/>
      <c r="Y266" s="18"/>
      <c r="Z266" s="158"/>
      <c r="AA266" s="18"/>
      <c r="AB266" s="18"/>
      <c r="AC266" s="18"/>
      <c r="AD266" s="18"/>
      <c r="AE266" s="18"/>
      <c r="AF266" s="18"/>
      <c r="AG266" s="149"/>
      <c r="AH266" s="48"/>
      <c r="AI266" s="48"/>
      <c r="AJ266" s="48"/>
      <c r="AO266" s="48"/>
      <c r="AP266" s="4"/>
    </row>
    <row r="267" spans="1:43" s="159" customFormat="1" ht="18" customHeight="1" x14ac:dyDescent="0.25">
      <c r="A267" s="163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158"/>
      <c r="V267" s="94"/>
      <c r="W267" s="18"/>
      <c r="X267" s="18"/>
      <c r="Y267" s="18"/>
      <c r="Z267" s="158"/>
      <c r="AA267" s="18"/>
      <c r="AB267" s="18"/>
      <c r="AC267" s="18"/>
      <c r="AD267" s="18"/>
      <c r="AE267" s="18"/>
      <c r="AF267" s="18"/>
      <c r="AG267" s="149"/>
      <c r="AH267" s="48"/>
      <c r="AI267" s="48"/>
      <c r="AJ267" s="48"/>
      <c r="AO267" s="48"/>
      <c r="AP267" s="4"/>
    </row>
  </sheetData>
  <conditionalFormatting sqref="AQ6:AQ7">
    <cfRule type="cellIs" dxfId="25" priority="30" operator="lessThanOrEqual">
      <formula>0</formula>
    </cfRule>
  </conditionalFormatting>
  <conditionalFormatting sqref="AP7">
    <cfRule type="cellIs" dxfId="24" priority="29" operator="lessThanOrEqual">
      <formula>0</formula>
    </cfRule>
  </conditionalFormatting>
  <conditionalFormatting sqref="AQ25:AQ26">
    <cfRule type="cellIs" dxfId="23" priority="28" operator="lessThanOrEqual">
      <formula>0</formula>
    </cfRule>
  </conditionalFormatting>
  <conditionalFormatting sqref="AP26">
    <cfRule type="cellIs" dxfId="22" priority="27" operator="lessThanOrEqual">
      <formula>0</formula>
    </cfRule>
  </conditionalFormatting>
  <conditionalFormatting sqref="AQ44:AQ45">
    <cfRule type="cellIs" dxfId="21" priority="26" operator="lessThanOrEqual">
      <formula>0</formula>
    </cfRule>
  </conditionalFormatting>
  <conditionalFormatting sqref="AP45">
    <cfRule type="cellIs" dxfId="20" priority="25" operator="lessThanOrEqual">
      <formula>0</formula>
    </cfRule>
  </conditionalFormatting>
  <conditionalFormatting sqref="AQ86:AQ87">
    <cfRule type="cellIs" dxfId="19" priority="24" operator="lessThanOrEqual">
      <formula>0</formula>
    </cfRule>
  </conditionalFormatting>
  <conditionalFormatting sqref="AP87">
    <cfRule type="cellIs" dxfId="18" priority="23" operator="lessThanOrEqual">
      <formula>0</formula>
    </cfRule>
  </conditionalFormatting>
  <conditionalFormatting sqref="AQ127:AQ128">
    <cfRule type="cellIs" dxfId="17" priority="22" operator="lessThanOrEqual">
      <formula>0</formula>
    </cfRule>
  </conditionalFormatting>
  <conditionalFormatting sqref="AP128">
    <cfRule type="cellIs" dxfId="16" priority="21" operator="lessThanOrEqual">
      <formula>0</formula>
    </cfRule>
  </conditionalFormatting>
  <conditionalFormatting sqref="AQ146:AQ147">
    <cfRule type="cellIs" dxfId="15" priority="20" operator="lessThanOrEqual">
      <formula>0</formula>
    </cfRule>
  </conditionalFormatting>
  <conditionalFormatting sqref="AP147">
    <cfRule type="cellIs" dxfId="14" priority="19" operator="lessThanOrEqual">
      <formula>0</formula>
    </cfRule>
  </conditionalFormatting>
  <conditionalFormatting sqref="AQ167:AQ168">
    <cfRule type="cellIs" dxfId="13" priority="18" operator="lessThanOrEqual">
      <formula>0</formula>
    </cfRule>
  </conditionalFormatting>
  <conditionalFormatting sqref="AP168">
    <cfRule type="cellIs" dxfId="12" priority="17" operator="lessThanOrEqual">
      <formula>0</formula>
    </cfRule>
  </conditionalFormatting>
  <conditionalFormatting sqref="AQ188:AQ189">
    <cfRule type="cellIs" dxfId="11" priority="16" operator="lessThanOrEqual">
      <formula>0</formula>
    </cfRule>
  </conditionalFormatting>
  <conditionalFormatting sqref="AP189">
    <cfRule type="cellIs" dxfId="10" priority="15" operator="lessThanOrEqual">
      <formula>0</formula>
    </cfRule>
  </conditionalFormatting>
  <conditionalFormatting sqref="AQ210:AQ211">
    <cfRule type="cellIs" dxfId="9" priority="14" operator="lessThanOrEqual">
      <formula>0</formula>
    </cfRule>
  </conditionalFormatting>
  <conditionalFormatting sqref="AP211">
    <cfRule type="cellIs" dxfId="8" priority="13" operator="lessThanOrEqual">
      <formula>0</formula>
    </cfRule>
  </conditionalFormatting>
  <conditionalFormatting sqref="AQ65:AQ66">
    <cfRule type="cellIs" dxfId="7" priority="8" operator="lessThanOrEqual">
      <formula>0</formula>
    </cfRule>
  </conditionalFormatting>
  <conditionalFormatting sqref="AP66">
    <cfRule type="cellIs" dxfId="6" priority="7" operator="lessThanOrEqual">
      <formula>0</formula>
    </cfRule>
  </conditionalFormatting>
  <conditionalFormatting sqref="AQ105:AQ106">
    <cfRule type="cellIs" dxfId="5" priority="6" operator="lessThanOrEqual">
      <formula>0</formula>
    </cfRule>
  </conditionalFormatting>
  <conditionalFormatting sqref="AP106">
    <cfRule type="cellIs" dxfId="4" priority="5" operator="lessThanOrEqual">
      <formula>0</formula>
    </cfRule>
  </conditionalFormatting>
  <conditionalFormatting sqref="AQ230:AQ231">
    <cfRule type="cellIs" dxfId="3" priority="4" operator="lessThanOrEqual">
      <formula>0</formula>
    </cfRule>
  </conditionalFormatting>
  <conditionalFormatting sqref="AP231">
    <cfRule type="cellIs" dxfId="2" priority="3" operator="lessThanOrEqual">
      <formula>0</formula>
    </cfRule>
  </conditionalFormatting>
  <conditionalFormatting sqref="AQ252:AQ253">
    <cfRule type="cellIs" dxfId="1" priority="2" operator="lessThanOrEqual">
      <formula>0</formula>
    </cfRule>
  </conditionalFormatting>
  <conditionalFormatting sqref="AP253">
    <cfRule type="cellIs" dxfId="0" priority="1" operator="lessThanOrEqual">
      <formula>0</formula>
    </cfRule>
  </conditionalFormatting>
  <pageMargins left="0.31496062992125984" right="0.31496062992125984" top="0.59055118110236227" bottom="0.31496062992125984" header="0.31496062992125984" footer="0.31496062992125984"/>
  <pageSetup paperSize="9" scale="96" orientation="portrait" r:id="rId1"/>
  <rowBreaks count="1" manualBreakCount="1">
    <brk id="41" min="11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75CED-7830-4CDF-9CCA-672429C7A8FC}">
  <dimension ref="A1:AA42"/>
  <sheetViews>
    <sheetView topLeftCell="E7" workbookViewId="0">
      <selection activeCell="D2" sqref="D2:AA42"/>
    </sheetView>
  </sheetViews>
  <sheetFormatPr baseColWidth="10" defaultRowHeight="15" x14ac:dyDescent="0.25"/>
  <sheetData>
    <row r="1" spans="1:27" x14ac:dyDescent="0.25">
      <c r="A1" t="s">
        <v>307</v>
      </c>
      <c r="B1" t="s">
        <v>321</v>
      </c>
      <c r="C1" t="s">
        <v>322</v>
      </c>
      <c r="D1" t="s">
        <v>323</v>
      </c>
      <c r="E1" t="s">
        <v>324</v>
      </c>
      <c r="F1" t="s">
        <v>325</v>
      </c>
      <c r="G1" t="s">
        <v>326</v>
      </c>
      <c r="H1" t="s">
        <v>327</v>
      </c>
      <c r="I1" t="s">
        <v>328</v>
      </c>
      <c r="J1" t="s">
        <v>329</v>
      </c>
      <c r="K1" t="s">
        <v>330</v>
      </c>
      <c r="L1" t="s">
        <v>331</v>
      </c>
      <c r="M1" t="s">
        <v>332</v>
      </c>
      <c r="N1" t="s">
        <v>333</v>
      </c>
      <c r="O1" t="s">
        <v>226</v>
      </c>
      <c r="P1" t="s">
        <v>334</v>
      </c>
      <c r="Q1" t="s">
        <v>335</v>
      </c>
      <c r="R1" t="s">
        <v>336</v>
      </c>
      <c r="S1" t="s">
        <v>337</v>
      </c>
      <c r="T1" t="s">
        <v>338</v>
      </c>
      <c r="U1" t="s">
        <v>339</v>
      </c>
      <c r="V1" t="s">
        <v>340</v>
      </c>
      <c r="W1" t="s">
        <v>341</v>
      </c>
      <c r="X1" t="s">
        <v>342</v>
      </c>
      <c r="Y1" t="s">
        <v>343</v>
      </c>
      <c r="Z1" t="s">
        <v>344</v>
      </c>
      <c r="AA1" t="s">
        <v>345</v>
      </c>
    </row>
    <row r="2" spans="1:27" x14ac:dyDescent="0.25">
      <c r="A2">
        <v>0</v>
      </c>
      <c r="B2">
        <v>6733</v>
      </c>
      <c r="C2" t="s">
        <v>346</v>
      </c>
      <c r="D2">
        <v>0</v>
      </c>
      <c r="E2">
        <v>22</v>
      </c>
      <c r="F2">
        <v>43</v>
      </c>
      <c r="G2">
        <v>0</v>
      </c>
      <c r="H2">
        <v>0</v>
      </c>
      <c r="I2">
        <v>859</v>
      </c>
      <c r="J2">
        <v>0</v>
      </c>
      <c r="K2">
        <v>0</v>
      </c>
      <c r="L2">
        <v>0</v>
      </c>
      <c r="M2">
        <v>0</v>
      </c>
      <c r="N2">
        <v>0</v>
      </c>
      <c r="O2">
        <v>2</v>
      </c>
      <c r="P2">
        <v>6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</row>
    <row r="3" spans="1:27" x14ac:dyDescent="0.25">
      <c r="A3">
        <v>0</v>
      </c>
      <c r="B3">
        <v>31275</v>
      </c>
      <c r="C3" t="s">
        <v>319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</row>
    <row r="4" spans="1:27" x14ac:dyDescent="0.25">
      <c r="A4">
        <v>1</v>
      </c>
      <c r="B4">
        <v>6312</v>
      </c>
      <c r="C4" t="s">
        <v>347</v>
      </c>
      <c r="D4">
        <v>225</v>
      </c>
      <c r="E4">
        <v>17</v>
      </c>
      <c r="F4">
        <v>11</v>
      </c>
      <c r="G4">
        <v>57</v>
      </c>
      <c r="H4">
        <v>0</v>
      </c>
      <c r="I4">
        <v>0</v>
      </c>
      <c r="J4">
        <v>218</v>
      </c>
      <c r="K4">
        <v>279</v>
      </c>
      <c r="L4">
        <v>245</v>
      </c>
      <c r="M4">
        <v>95</v>
      </c>
      <c r="N4">
        <v>76</v>
      </c>
      <c r="O4">
        <v>2</v>
      </c>
      <c r="P4">
        <v>125</v>
      </c>
      <c r="Q4">
        <v>273</v>
      </c>
      <c r="R4">
        <v>181</v>
      </c>
      <c r="S4">
        <v>2</v>
      </c>
      <c r="T4">
        <v>0</v>
      </c>
      <c r="U4">
        <v>218</v>
      </c>
      <c r="V4">
        <v>378</v>
      </c>
      <c r="W4">
        <v>253</v>
      </c>
      <c r="X4">
        <v>220</v>
      </c>
      <c r="Y4">
        <v>272</v>
      </c>
      <c r="Z4">
        <v>198</v>
      </c>
      <c r="AA4">
        <v>855</v>
      </c>
    </row>
    <row r="5" spans="1:27" x14ac:dyDescent="0.25">
      <c r="A5">
        <v>1</v>
      </c>
      <c r="B5">
        <v>6313</v>
      </c>
      <c r="C5" t="s">
        <v>348</v>
      </c>
      <c r="D5">
        <v>10</v>
      </c>
      <c r="E5">
        <v>0</v>
      </c>
      <c r="F5">
        <v>0</v>
      </c>
      <c r="G5">
        <v>6</v>
      </c>
      <c r="H5">
        <v>0</v>
      </c>
      <c r="I5">
        <v>0</v>
      </c>
      <c r="J5">
        <v>13</v>
      </c>
      <c r="K5">
        <v>13</v>
      </c>
      <c r="L5">
        <v>8</v>
      </c>
      <c r="M5">
        <v>5</v>
      </c>
      <c r="N5">
        <v>6</v>
      </c>
      <c r="O5">
        <v>0</v>
      </c>
      <c r="P5">
        <v>1</v>
      </c>
      <c r="Q5">
        <v>14</v>
      </c>
      <c r="R5">
        <v>15</v>
      </c>
      <c r="S5">
        <v>2</v>
      </c>
      <c r="T5">
        <v>0</v>
      </c>
      <c r="U5">
        <v>4</v>
      </c>
      <c r="V5">
        <v>43</v>
      </c>
      <c r="W5">
        <v>31</v>
      </c>
      <c r="X5">
        <v>13</v>
      </c>
      <c r="Y5">
        <v>16</v>
      </c>
      <c r="Z5">
        <v>8</v>
      </c>
      <c r="AA5">
        <v>38</v>
      </c>
    </row>
    <row r="6" spans="1:27" x14ac:dyDescent="0.25">
      <c r="A6">
        <v>1</v>
      </c>
      <c r="B6">
        <v>6314</v>
      </c>
      <c r="C6" t="s">
        <v>349</v>
      </c>
      <c r="D6">
        <v>6</v>
      </c>
      <c r="E6">
        <v>0</v>
      </c>
      <c r="F6">
        <v>0</v>
      </c>
      <c r="G6">
        <v>2</v>
      </c>
      <c r="H6">
        <v>0</v>
      </c>
      <c r="I6">
        <v>2</v>
      </c>
      <c r="J6">
        <v>7</v>
      </c>
      <c r="K6">
        <v>8</v>
      </c>
      <c r="L6">
        <v>11</v>
      </c>
      <c r="M6">
        <v>0</v>
      </c>
      <c r="N6">
        <v>1</v>
      </c>
      <c r="O6">
        <v>0</v>
      </c>
      <c r="P6">
        <v>3</v>
      </c>
      <c r="Q6">
        <v>7</v>
      </c>
      <c r="R6">
        <v>3</v>
      </c>
      <c r="S6">
        <v>0</v>
      </c>
      <c r="T6">
        <v>0</v>
      </c>
      <c r="U6">
        <v>10</v>
      </c>
      <c r="V6">
        <v>15</v>
      </c>
      <c r="W6">
        <v>19</v>
      </c>
      <c r="X6">
        <v>8</v>
      </c>
      <c r="Y6">
        <v>13</v>
      </c>
      <c r="Z6">
        <v>5</v>
      </c>
      <c r="AA6">
        <v>29</v>
      </c>
    </row>
    <row r="7" spans="1:27" x14ac:dyDescent="0.25">
      <c r="A7">
        <v>1</v>
      </c>
      <c r="B7">
        <v>6315</v>
      </c>
      <c r="C7" t="s">
        <v>350</v>
      </c>
      <c r="D7">
        <v>10</v>
      </c>
      <c r="E7">
        <v>0</v>
      </c>
      <c r="F7">
        <v>1</v>
      </c>
      <c r="G7">
        <v>1</v>
      </c>
      <c r="H7">
        <v>0</v>
      </c>
      <c r="I7">
        <v>1</v>
      </c>
      <c r="J7">
        <v>10</v>
      </c>
      <c r="K7">
        <v>10</v>
      </c>
      <c r="L7">
        <v>7</v>
      </c>
      <c r="M7">
        <v>4</v>
      </c>
      <c r="N7">
        <v>6</v>
      </c>
      <c r="O7">
        <v>0</v>
      </c>
      <c r="P7">
        <v>3</v>
      </c>
      <c r="Q7">
        <v>8</v>
      </c>
      <c r="R7">
        <v>12</v>
      </c>
      <c r="S7">
        <v>0</v>
      </c>
      <c r="T7">
        <v>0</v>
      </c>
      <c r="U7">
        <v>6</v>
      </c>
      <c r="V7">
        <v>44</v>
      </c>
      <c r="W7">
        <v>27</v>
      </c>
      <c r="X7">
        <v>12</v>
      </c>
      <c r="Y7">
        <v>13</v>
      </c>
      <c r="Z7">
        <v>10</v>
      </c>
      <c r="AA7">
        <v>38</v>
      </c>
    </row>
    <row r="8" spans="1:27" x14ac:dyDescent="0.25">
      <c r="A8">
        <v>1</v>
      </c>
      <c r="B8">
        <v>6316</v>
      </c>
      <c r="C8" t="s">
        <v>351</v>
      </c>
      <c r="D8">
        <v>25</v>
      </c>
      <c r="E8">
        <v>0</v>
      </c>
      <c r="F8">
        <v>0</v>
      </c>
      <c r="G8">
        <v>10</v>
      </c>
      <c r="H8">
        <v>0</v>
      </c>
      <c r="I8">
        <v>0</v>
      </c>
      <c r="J8">
        <v>20</v>
      </c>
      <c r="K8">
        <v>24</v>
      </c>
      <c r="L8">
        <v>20</v>
      </c>
      <c r="M8">
        <v>8</v>
      </c>
      <c r="N8">
        <v>8</v>
      </c>
      <c r="O8">
        <v>2</v>
      </c>
      <c r="P8">
        <v>7</v>
      </c>
      <c r="Q8">
        <v>26</v>
      </c>
      <c r="R8">
        <v>29</v>
      </c>
      <c r="S8">
        <v>4</v>
      </c>
      <c r="T8">
        <v>0</v>
      </c>
      <c r="U8">
        <v>7</v>
      </c>
      <c r="V8">
        <v>33</v>
      </c>
      <c r="W8">
        <v>31</v>
      </c>
      <c r="X8">
        <v>25</v>
      </c>
      <c r="Y8">
        <v>36</v>
      </c>
      <c r="Z8">
        <v>10</v>
      </c>
      <c r="AA8">
        <v>75</v>
      </c>
    </row>
    <row r="9" spans="1:27" x14ac:dyDescent="0.25">
      <c r="A9">
        <v>1</v>
      </c>
      <c r="B9">
        <v>6317</v>
      </c>
      <c r="C9" t="s">
        <v>352</v>
      </c>
      <c r="D9">
        <v>2</v>
      </c>
      <c r="E9">
        <v>1</v>
      </c>
      <c r="F9">
        <v>0</v>
      </c>
      <c r="G9">
        <v>1</v>
      </c>
      <c r="H9">
        <v>0</v>
      </c>
      <c r="I9">
        <v>1</v>
      </c>
      <c r="J9">
        <v>0</v>
      </c>
      <c r="K9">
        <v>0</v>
      </c>
      <c r="L9">
        <v>1</v>
      </c>
      <c r="M9">
        <v>0</v>
      </c>
      <c r="N9">
        <v>1</v>
      </c>
      <c r="O9">
        <v>0</v>
      </c>
      <c r="P9">
        <v>0</v>
      </c>
      <c r="Q9">
        <v>0</v>
      </c>
      <c r="R9">
        <v>4</v>
      </c>
      <c r="S9">
        <v>1</v>
      </c>
      <c r="T9">
        <v>0</v>
      </c>
      <c r="U9">
        <v>0</v>
      </c>
      <c r="V9">
        <v>2</v>
      </c>
      <c r="W9">
        <v>2</v>
      </c>
      <c r="X9">
        <v>0</v>
      </c>
      <c r="Y9">
        <v>2</v>
      </c>
      <c r="Z9">
        <v>5</v>
      </c>
      <c r="AA9">
        <v>7</v>
      </c>
    </row>
    <row r="10" spans="1:27" x14ac:dyDescent="0.25">
      <c r="A10">
        <v>1</v>
      </c>
      <c r="B10">
        <v>6707</v>
      </c>
      <c r="C10" t="s">
        <v>353</v>
      </c>
      <c r="D10">
        <v>10</v>
      </c>
      <c r="E10">
        <v>0</v>
      </c>
      <c r="F10">
        <v>0</v>
      </c>
      <c r="G10">
        <v>3</v>
      </c>
      <c r="H10">
        <v>0</v>
      </c>
      <c r="I10">
        <v>0</v>
      </c>
      <c r="J10">
        <v>4</v>
      </c>
      <c r="K10">
        <v>10</v>
      </c>
      <c r="L10">
        <v>13</v>
      </c>
      <c r="M10">
        <v>1</v>
      </c>
      <c r="N10">
        <v>4</v>
      </c>
      <c r="O10">
        <v>0</v>
      </c>
      <c r="P10">
        <v>5</v>
      </c>
      <c r="Q10">
        <v>15</v>
      </c>
      <c r="R10">
        <v>2</v>
      </c>
      <c r="S10">
        <v>0</v>
      </c>
      <c r="T10">
        <v>0</v>
      </c>
      <c r="U10">
        <v>14</v>
      </c>
      <c r="V10">
        <v>16</v>
      </c>
      <c r="W10">
        <v>9</v>
      </c>
      <c r="X10">
        <v>12</v>
      </c>
      <c r="Y10">
        <v>7</v>
      </c>
      <c r="Z10">
        <v>7</v>
      </c>
      <c r="AA10">
        <v>33</v>
      </c>
    </row>
    <row r="11" spans="1:27" x14ac:dyDescent="0.25">
      <c r="A11">
        <v>1</v>
      </c>
      <c r="B11">
        <v>10110</v>
      </c>
      <c r="C11" t="s">
        <v>354</v>
      </c>
      <c r="D11">
        <v>4</v>
      </c>
      <c r="E11">
        <v>0</v>
      </c>
      <c r="F11">
        <v>0</v>
      </c>
      <c r="G11">
        <v>4</v>
      </c>
      <c r="H11">
        <v>0</v>
      </c>
      <c r="I11">
        <v>0</v>
      </c>
      <c r="J11">
        <v>8</v>
      </c>
      <c r="K11">
        <v>6</v>
      </c>
      <c r="L11">
        <v>8</v>
      </c>
      <c r="M11">
        <v>1</v>
      </c>
      <c r="N11">
        <v>8</v>
      </c>
      <c r="O11">
        <v>0</v>
      </c>
      <c r="P11">
        <v>2</v>
      </c>
      <c r="Q11">
        <v>8</v>
      </c>
      <c r="R11">
        <v>9</v>
      </c>
      <c r="S11">
        <v>0</v>
      </c>
      <c r="T11">
        <v>0</v>
      </c>
      <c r="U11">
        <v>6</v>
      </c>
      <c r="V11">
        <v>26</v>
      </c>
      <c r="W11">
        <v>11</v>
      </c>
      <c r="X11">
        <v>6</v>
      </c>
      <c r="Y11">
        <v>12</v>
      </c>
      <c r="Z11">
        <v>9</v>
      </c>
      <c r="AA11">
        <v>27</v>
      </c>
    </row>
    <row r="12" spans="1:27" x14ac:dyDescent="0.25">
      <c r="A12">
        <v>1</v>
      </c>
      <c r="B12">
        <v>27097</v>
      </c>
      <c r="C12" t="s">
        <v>355</v>
      </c>
      <c r="D12">
        <v>19</v>
      </c>
      <c r="E12">
        <v>2</v>
      </c>
      <c r="F12">
        <v>0</v>
      </c>
      <c r="G12">
        <v>6</v>
      </c>
      <c r="H12">
        <v>0</v>
      </c>
      <c r="I12">
        <v>2</v>
      </c>
      <c r="J12">
        <v>13</v>
      </c>
      <c r="K12">
        <v>11</v>
      </c>
      <c r="L12">
        <v>15</v>
      </c>
      <c r="M12">
        <v>2</v>
      </c>
      <c r="N12">
        <v>9</v>
      </c>
      <c r="O12">
        <v>0</v>
      </c>
      <c r="P12">
        <v>0</v>
      </c>
      <c r="Q12">
        <v>11</v>
      </c>
      <c r="R12">
        <v>21</v>
      </c>
      <c r="S12">
        <v>0</v>
      </c>
      <c r="T12">
        <v>0</v>
      </c>
      <c r="U12">
        <v>11</v>
      </c>
      <c r="V12">
        <v>54</v>
      </c>
      <c r="W12">
        <v>61</v>
      </c>
      <c r="X12">
        <v>11</v>
      </c>
      <c r="Y12">
        <v>31</v>
      </c>
      <c r="Z12">
        <v>13</v>
      </c>
      <c r="AA12">
        <v>57</v>
      </c>
    </row>
    <row r="13" spans="1:27" x14ac:dyDescent="0.25">
      <c r="A13">
        <v>1</v>
      </c>
      <c r="B13">
        <v>31276</v>
      </c>
      <c r="C13" t="s">
        <v>320</v>
      </c>
      <c r="D13">
        <v>14</v>
      </c>
      <c r="E13">
        <v>0</v>
      </c>
      <c r="F13">
        <v>0</v>
      </c>
      <c r="G13">
        <v>0</v>
      </c>
      <c r="H13">
        <v>0</v>
      </c>
      <c r="I13">
        <v>0</v>
      </c>
      <c r="J13">
        <v>8</v>
      </c>
      <c r="K13">
        <v>13</v>
      </c>
      <c r="L13">
        <v>13</v>
      </c>
      <c r="M13">
        <v>10</v>
      </c>
      <c r="N13">
        <v>7</v>
      </c>
      <c r="O13">
        <v>1</v>
      </c>
      <c r="P13">
        <v>1</v>
      </c>
      <c r="Q13">
        <v>14</v>
      </c>
      <c r="R13">
        <v>0</v>
      </c>
      <c r="S13">
        <v>0</v>
      </c>
      <c r="T13">
        <v>0</v>
      </c>
      <c r="U13">
        <v>0</v>
      </c>
      <c r="V13">
        <v>35</v>
      </c>
      <c r="W13">
        <v>12</v>
      </c>
      <c r="X13">
        <v>19</v>
      </c>
      <c r="Y13">
        <v>20</v>
      </c>
      <c r="Z13">
        <v>10</v>
      </c>
      <c r="AA13">
        <v>54</v>
      </c>
    </row>
    <row r="14" spans="1:27" x14ac:dyDescent="0.25">
      <c r="A14">
        <v>2</v>
      </c>
      <c r="B14">
        <v>6341</v>
      </c>
      <c r="C14" t="s">
        <v>69</v>
      </c>
      <c r="D14">
        <v>15</v>
      </c>
      <c r="E14">
        <v>0</v>
      </c>
      <c r="F14">
        <v>0</v>
      </c>
      <c r="G14">
        <v>9</v>
      </c>
      <c r="H14">
        <v>0</v>
      </c>
      <c r="I14">
        <v>35</v>
      </c>
      <c r="J14">
        <v>22</v>
      </c>
      <c r="K14">
        <v>18</v>
      </c>
      <c r="L14">
        <v>18</v>
      </c>
      <c r="M14">
        <v>10</v>
      </c>
      <c r="N14">
        <v>7</v>
      </c>
      <c r="O14">
        <v>0</v>
      </c>
      <c r="P14">
        <v>12</v>
      </c>
      <c r="Q14">
        <v>22</v>
      </c>
      <c r="R14">
        <v>16</v>
      </c>
      <c r="S14">
        <v>2</v>
      </c>
      <c r="T14">
        <v>0</v>
      </c>
      <c r="U14">
        <v>1</v>
      </c>
      <c r="V14">
        <v>33</v>
      </c>
      <c r="W14">
        <v>0</v>
      </c>
      <c r="X14">
        <v>15</v>
      </c>
      <c r="Y14">
        <v>9</v>
      </c>
      <c r="Z14">
        <v>2</v>
      </c>
      <c r="AA14">
        <v>36</v>
      </c>
    </row>
    <row r="15" spans="1:27" x14ac:dyDescent="0.25">
      <c r="A15">
        <v>2</v>
      </c>
      <c r="B15">
        <v>6346</v>
      </c>
      <c r="C15" t="s">
        <v>356</v>
      </c>
      <c r="D15">
        <v>4</v>
      </c>
      <c r="E15">
        <v>0</v>
      </c>
      <c r="F15">
        <v>0</v>
      </c>
      <c r="G15">
        <v>4</v>
      </c>
      <c r="H15">
        <v>0</v>
      </c>
      <c r="I15">
        <v>0</v>
      </c>
      <c r="J15">
        <v>8</v>
      </c>
      <c r="K15">
        <v>7</v>
      </c>
      <c r="L15">
        <v>3</v>
      </c>
      <c r="M15">
        <v>1</v>
      </c>
      <c r="N15">
        <v>7</v>
      </c>
      <c r="O15">
        <v>0</v>
      </c>
      <c r="P15">
        <v>3</v>
      </c>
      <c r="Q15">
        <v>8</v>
      </c>
      <c r="R15">
        <v>5</v>
      </c>
      <c r="S15">
        <v>0</v>
      </c>
      <c r="T15">
        <v>0</v>
      </c>
      <c r="U15">
        <v>7</v>
      </c>
      <c r="V15">
        <v>16</v>
      </c>
      <c r="W15">
        <v>0</v>
      </c>
      <c r="X15">
        <v>8</v>
      </c>
      <c r="Y15">
        <v>2</v>
      </c>
      <c r="Z15">
        <v>2</v>
      </c>
      <c r="AA15">
        <v>15</v>
      </c>
    </row>
    <row r="16" spans="1:27" x14ac:dyDescent="0.25">
      <c r="A16">
        <v>2</v>
      </c>
      <c r="B16">
        <v>6349</v>
      </c>
      <c r="C16" t="s">
        <v>357</v>
      </c>
      <c r="D16">
        <v>14</v>
      </c>
      <c r="E16">
        <v>0</v>
      </c>
      <c r="F16">
        <v>0</v>
      </c>
      <c r="G16">
        <v>3</v>
      </c>
      <c r="H16">
        <v>0</v>
      </c>
      <c r="I16">
        <v>0</v>
      </c>
      <c r="J16">
        <v>22</v>
      </c>
      <c r="K16">
        <v>18</v>
      </c>
      <c r="L16">
        <v>4</v>
      </c>
      <c r="M16">
        <v>2</v>
      </c>
      <c r="N16">
        <v>2</v>
      </c>
      <c r="O16">
        <v>0</v>
      </c>
      <c r="P16">
        <v>2</v>
      </c>
      <c r="Q16">
        <v>23</v>
      </c>
      <c r="R16">
        <v>12</v>
      </c>
      <c r="S16">
        <v>0</v>
      </c>
      <c r="T16">
        <v>0</v>
      </c>
      <c r="U16">
        <v>5</v>
      </c>
      <c r="V16">
        <v>34</v>
      </c>
      <c r="W16">
        <v>0</v>
      </c>
      <c r="X16">
        <v>14</v>
      </c>
      <c r="Y16">
        <v>3</v>
      </c>
      <c r="Z16">
        <v>9</v>
      </c>
      <c r="AA16">
        <v>42</v>
      </c>
    </row>
    <row r="17" spans="1:27" x14ac:dyDescent="0.25">
      <c r="A17">
        <v>3</v>
      </c>
      <c r="B17">
        <v>6318</v>
      </c>
      <c r="C17" t="s">
        <v>64</v>
      </c>
      <c r="D17">
        <v>33</v>
      </c>
      <c r="E17">
        <v>0</v>
      </c>
      <c r="F17">
        <v>0</v>
      </c>
      <c r="G17">
        <v>22</v>
      </c>
      <c r="H17">
        <v>0</v>
      </c>
      <c r="I17">
        <v>0</v>
      </c>
      <c r="J17">
        <v>25</v>
      </c>
      <c r="K17">
        <v>25</v>
      </c>
      <c r="L17">
        <v>28</v>
      </c>
      <c r="M17">
        <v>8</v>
      </c>
      <c r="N17">
        <v>15</v>
      </c>
      <c r="O17">
        <v>13</v>
      </c>
      <c r="P17">
        <v>22</v>
      </c>
      <c r="Q17">
        <v>29</v>
      </c>
      <c r="R17">
        <v>56</v>
      </c>
      <c r="S17">
        <v>15</v>
      </c>
      <c r="T17">
        <v>0</v>
      </c>
      <c r="U17">
        <v>16</v>
      </c>
      <c r="V17">
        <v>26</v>
      </c>
      <c r="W17">
        <v>1</v>
      </c>
      <c r="X17">
        <v>14</v>
      </c>
      <c r="Y17">
        <v>39</v>
      </c>
      <c r="Z17">
        <v>20</v>
      </c>
      <c r="AA17">
        <v>83</v>
      </c>
    </row>
    <row r="18" spans="1:27" x14ac:dyDescent="0.25">
      <c r="A18">
        <v>3</v>
      </c>
      <c r="B18">
        <v>6319</v>
      </c>
      <c r="C18" t="s">
        <v>358</v>
      </c>
      <c r="D18">
        <v>12</v>
      </c>
      <c r="E18">
        <v>0</v>
      </c>
      <c r="F18">
        <v>0</v>
      </c>
      <c r="G18">
        <v>6</v>
      </c>
      <c r="H18">
        <v>0</v>
      </c>
      <c r="I18">
        <v>0</v>
      </c>
      <c r="J18">
        <v>8</v>
      </c>
      <c r="K18">
        <v>6</v>
      </c>
      <c r="L18">
        <v>7</v>
      </c>
      <c r="M18">
        <v>0</v>
      </c>
      <c r="N18">
        <v>2</v>
      </c>
      <c r="O18">
        <v>0</v>
      </c>
      <c r="P18">
        <v>2</v>
      </c>
      <c r="Q18">
        <v>6</v>
      </c>
      <c r="R18">
        <v>12</v>
      </c>
      <c r="S18">
        <v>0</v>
      </c>
      <c r="T18">
        <v>0</v>
      </c>
      <c r="U18">
        <v>6</v>
      </c>
      <c r="V18">
        <v>18</v>
      </c>
      <c r="W18">
        <v>0</v>
      </c>
      <c r="X18">
        <v>5</v>
      </c>
      <c r="Y18">
        <v>9</v>
      </c>
      <c r="Z18">
        <v>7</v>
      </c>
      <c r="AA18">
        <v>21</v>
      </c>
    </row>
    <row r="19" spans="1:27" x14ac:dyDescent="0.25">
      <c r="A19">
        <v>3</v>
      </c>
      <c r="B19">
        <v>6320</v>
      </c>
      <c r="C19" t="s">
        <v>359</v>
      </c>
      <c r="D19">
        <v>5</v>
      </c>
      <c r="E19">
        <v>0</v>
      </c>
      <c r="F19">
        <v>0</v>
      </c>
      <c r="G19">
        <v>0</v>
      </c>
      <c r="H19">
        <v>0</v>
      </c>
      <c r="I19">
        <v>0</v>
      </c>
      <c r="J19">
        <v>10</v>
      </c>
      <c r="K19">
        <v>6</v>
      </c>
      <c r="L19">
        <v>6</v>
      </c>
      <c r="M19">
        <v>1</v>
      </c>
      <c r="N19">
        <v>5</v>
      </c>
      <c r="O19">
        <v>0</v>
      </c>
      <c r="P19">
        <v>3</v>
      </c>
      <c r="Q19">
        <v>9</v>
      </c>
      <c r="R19">
        <v>13</v>
      </c>
      <c r="S19">
        <v>3</v>
      </c>
      <c r="T19">
        <v>0</v>
      </c>
      <c r="U19">
        <v>7</v>
      </c>
      <c r="V19">
        <v>17</v>
      </c>
      <c r="W19">
        <v>2</v>
      </c>
      <c r="X19">
        <v>5</v>
      </c>
      <c r="Y19">
        <v>14</v>
      </c>
      <c r="Z19">
        <v>5</v>
      </c>
      <c r="AA19">
        <v>25</v>
      </c>
    </row>
    <row r="20" spans="1:27" x14ac:dyDescent="0.25">
      <c r="A20">
        <v>3</v>
      </c>
      <c r="B20">
        <v>6321</v>
      </c>
      <c r="C20" t="s">
        <v>360</v>
      </c>
      <c r="D20">
        <v>17</v>
      </c>
      <c r="E20">
        <v>0</v>
      </c>
      <c r="F20">
        <v>0</v>
      </c>
      <c r="G20">
        <v>15</v>
      </c>
      <c r="H20">
        <v>0</v>
      </c>
      <c r="I20">
        <v>1</v>
      </c>
      <c r="J20">
        <v>15</v>
      </c>
      <c r="K20">
        <v>24</v>
      </c>
      <c r="L20">
        <v>19</v>
      </c>
      <c r="M20">
        <v>1</v>
      </c>
      <c r="N20">
        <v>4</v>
      </c>
      <c r="O20">
        <v>0</v>
      </c>
      <c r="P20">
        <v>15</v>
      </c>
      <c r="Q20">
        <v>19</v>
      </c>
      <c r="R20">
        <v>23</v>
      </c>
      <c r="S20">
        <v>3</v>
      </c>
      <c r="T20">
        <v>0</v>
      </c>
      <c r="U20">
        <v>7</v>
      </c>
      <c r="V20">
        <v>53</v>
      </c>
      <c r="W20">
        <v>0</v>
      </c>
      <c r="X20">
        <v>10</v>
      </c>
      <c r="Y20">
        <v>21</v>
      </c>
      <c r="Z20">
        <v>9</v>
      </c>
      <c r="AA20">
        <v>42</v>
      </c>
    </row>
    <row r="21" spans="1:27" x14ac:dyDescent="0.25">
      <c r="A21">
        <v>4</v>
      </c>
      <c r="B21">
        <v>6327</v>
      </c>
      <c r="C21" t="s">
        <v>66</v>
      </c>
      <c r="D21">
        <v>14</v>
      </c>
      <c r="E21">
        <v>3</v>
      </c>
      <c r="F21">
        <v>4</v>
      </c>
      <c r="G21">
        <v>10</v>
      </c>
      <c r="H21">
        <v>0</v>
      </c>
      <c r="I21">
        <v>0</v>
      </c>
      <c r="J21">
        <v>20</v>
      </c>
      <c r="K21">
        <v>23</v>
      </c>
      <c r="L21">
        <v>24</v>
      </c>
      <c r="M21">
        <v>8</v>
      </c>
      <c r="N21">
        <v>6</v>
      </c>
      <c r="O21">
        <v>0</v>
      </c>
      <c r="P21">
        <v>1</v>
      </c>
      <c r="Q21">
        <v>24</v>
      </c>
      <c r="R21">
        <v>15</v>
      </c>
      <c r="S21">
        <v>0</v>
      </c>
      <c r="T21">
        <v>0</v>
      </c>
      <c r="U21">
        <v>0</v>
      </c>
      <c r="V21">
        <v>0</v>
      </c>
      <c r="W21">
        <v>0</v>
      </c>
      <c r="X21">
        <v>26</v>
      </c>
      <c r="Y21">
        <v>40</v>
      </c>
      <c r="Z21">
        <v>16</v>
      </c>
      <c r="AA21">
        <v>95</v>
      </c>
    </row>
    <row r="22" spans="1:27" x14ac:dyDescent="0.25">
      <c r="A22">
        <v>4</v>
      </c>
      <c r="B22">
        <v>6332</v>
      </c>
      <c r="C22" t="s">
        <v>65</v>
      </c>
      <c r="D22">
        <v>103</v>
      </c>
      <c r="E22">
        <v>4</v>
      </c>
      <c r="F22">
        <v>5</v>
      </c>
      <c r="G22">
        <v>22</v>
      </c>
      <c r="H22">
        <v>0</v>
      </c>
      <c r="I22">
        <v>114</v>
      </c>
      <c r="J22">
        <v>113</v>
      </c>
      <c r="K22">
        <v>123</v>
      </c>
      <c r="L22">
        <v>109</v>
      </c>
      <c r="M22">
        <v>51</v>
      </c>
      <c r="N22">
        <v>49</v>
      </c>
      <c r="O22">
        <v>53</v>
      </c>
      <c r="P22">
        <v>5</v>
      </c>
      <c r="Q22">
        <v>139</v>
      </c>
      <c r="R22">
        <v>52</v>
      </c>
      <c r="S22">
        <v>1</v>
      </c>
      <c r="T22">
        <v>0</v>
      </c>
      <c r="U22">
        <v>0</v>
      </c>
      <c r="V22">
        <v>2</v>
      </c>
      <c r="W22">
        <v>1</v>
      </c>
      <c r="X22">
        <v>127</v>
      </c>
      <c r="Y22">
        <v>145</v>
      </c>
      <c r="Z22">
        <v>83</v>
      </c>
      <c r="AA22">
        <v>429</v>
      </c>
    </row>
    <row r="23" spans="1:27" x14ac:dyDescent="0.25">
      <c r="A23">
        <v>4</v>
      </c>
      <c r="B23">
        <v>6333</v>
      </c>
      <c r="C23" t="s">
        <v>361</v>
      </c>
      <c r="D23">
        <v>6</v>
      </c>
      <c r="E23">
        <v>0</v>
      </c>
      <c r="F23">
        <v>0</v>
      </c>
      <c r="G23">
        <v>2</v>
      </c>
      <c r="H23">
        <v>0</v>
      </c>
      <c r="I23">
        <v>0</v>
      </c>
      <c r="J23">
        <v>0</v>
      </c>
      <c r="K23">
        <v>3</v>
      </c>
      <c r="L23">
        <v>8</v>
      </c>
      <c r="M23">
        <v>1</v>
      </c>
      <c r="N23">
        <v>0</v>
      </c>
      <c r="O23">
        <v>0</v>
      </c>
      <c r="P23">
        <v>0</v>
      </c>
      <c r="Q23">
        <v>12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8</v>
      </c>
      <c r="Y23">
        <v>11</v>
      </c>
      <c r="Z23">
        <v>4</v>
      </c>
      <c r="AA23">
        <v>30</v>
      </c>
    </row>
    <row r="24" spans="1:27" x14ac:dyDescent="0.25">
      <c r="A24">
        <v>4</v>
      </c>
      <c r="B24">
        <v>6334</v>
      </c>
      <c r="C24" t="s">
        <v>362</v>
      </c>
      <c r="D24">
        <v>15</v>
      </c>
      <c r="E24">
        <v>0</v>
      </c>
      <c r="F24">
        <v>0</v>
      </c>
      <c r="G24">
        <v>3</v>
      </c>
      <c r="H24">
        <v>0</v>
      </c>
      <c r="I24">
        <v>0</v>
      </c>
      <c r="J24">
        <v>8</v>
      </c>
      <c r="K24">
        <v>12</v>
      </c>
      <c r="L24">
        <v>8</v>
      </c>
      <c r="M24">
        <v>4</v>
      </c>
      <c r="N24">
        <v>6</v>
      </c>
      <c r="O24">
        <v>3</v>
      </c>
      <c r="P24">
        <v>0</v>
      </c>
      <c r="Q24">
        <v>32</v>
      </c>
      <c r="R24">
        <v>14</v>
      </c>
      <c r="S24">
        <v>2</v>
      </c>
      <c r="T24">
        <v>0</v>
      </c>
      <c r="U24">
        <v>0</v>
      </c>
      <c r="V24">
        <v>1</v>
      </c>
      <c r="W24">
        <v>0</v>
      </c>
      <c r="X24">
        <v>23</v>
      </c>
      <c r="Y24">
        <v>26</v>
      </c>
      <c r="Z24">
        <v>21</v>
      </c>
      <c r="AA24">
        <v>80</v>
      </c>
    </row>
    <row r="25" spans="1:27" x14ac:dyDescent="0.25">
      <c r="A25">
        <v>4</v>
      </c>
      <c r="B25">
        <v>6335</v>
      </c>
      <c r="C25" t="s">
        <v>363</v>
      </c>
      <c r="D25">
        <v>0</v>
      </c>
      <c r="E25">
        <v>0</v>
      </c>
      <c r="F25">
        <v>1</v>
      </c>
      <c r="G25">
        <v>3</v>
      </c>
      <c r="H25">
        <v>0</v>
      </c>
      <c r="I25">
        <v>0</v>
      </c>
      <c r="J25">
        <v>6</v>
      </c>
      <c r="K25">
        <v>8</v>
      </c>
      <c r="L25">
        <v>8</v>
      </c>
      <c r="M25">
        <v>1</v>
      </c>
      <c r="N25">
        <v>0</v>
      </c>
      <c r="O25">
        <v>1</v>
      </c>
      <c r="P25">
        <v>0</v>
      </c>
      <c r="Q25">
        <v>12</v>
      </c>
      <c r="R25">
        <v>7</v>
      </c>
      <c r="S25">
        <v>0</v>
      </c>
      <c r="T25">
        <v>0</v>
      </c>
      <c r="U25">
        <v>0</v>
      </c>
      <c r="V25">
        <v>0</v>
      </c>
      <c r="W25">
        <v>0</v>
      </c>
      <c r="X25">
        <v>7</v>
      </c>
      <c r="Y25">
        <v>6</v>
      </c>
      <c r="Z25">
        <v>4</v>
      </c>
      <c r="AA25">
        <v>34</v>
      </c>
    </row>
    <row r="26" spans="1:27" x14ac:dyDescent="0.25">
      <c r="A26">
        <v>4</v>
      </c>
      <c r="B26">
        <v>6336</v>
      </c>
      <c r="C26" t="s">
        <v>364</v>
      </c>
      <c r="D26">
        <v>9</v>
      </c>
      <c r="E26">
        <v>0</v>
      </c>
      <c r="F26">
        <v>0</v>
      </c>
      <c r="G26">
        <v>1</v>
      </c>
      <c r="H26">
        <v>0</v>
      </c>
      <c r="I26">
        <v>0</v>
      </c>
      <c r="J26">
        <v>12</v>
      </c>
      <c r="K26">
        <v>15</v>
      </c>
      <c r="L26">
        <v>7</v>
      </c>
      <c r="M26">
        <v>14</v>
      </c>
      <c r="N26">
        <v>21</v>
      </c>
      <c r="O26">
        <v>0</v>
      </c>
      <c r="P26">
        <v>0</v>
      </c>
      <c r="Q26">
        <v>23</v>
      </c>
      <c r="R26">
        <v>4</v>
      </c>
      <c r="S26">
        <v>1</v>
      </c>
      <c r="T26">
        <v>0</v>
      </c>
      <c r="U26">
        <v>0</v>
      </c>
      <c r="V26">
        <v>0</v>
      </c>
      <c r="W26">
        <v>0</v>
      </c>
      <c r="X26">
        <v>18</v>
      </c>
      <c r="Y26">
        <v>12</v>
      </c>
      <c r="Z26">
        <v>9</v>
      </c>
      <c r="AA26">
        <v>48</v>
      </c>
    </row>
    <row r="27" spans="1:27" x14ac:dyDescent="0.25">
      <c r="A27">
        <v>5</v>
      </c>
      <c r="B27">
        <v>6337</v>
      </c>
      <c r="C27" t="s">
        <v>63</v>
      </c>
      <c r="D27">
        <v>27</v>
      </c>
      <c r="E27">
        <v>0</v>
      </c>
      <c r="F27">
        <v>7</v>
      </c>
      <c r="G27">
        <v>6</v>
      </c>
      <c r="H27">
        <v>0</v>
      </c>
      <c r="I27">
        <v>16</v>
      </c>
      <c r="J27">
        <v>33</v>
      </c>
      <c r="K27">
        <v>35</v>
      </c>
      <c r="L27">
        <v>25</v>
      </c>
      <c r="M27">
        <v>7</v>
      </c>
      <c r="N27">
        <v>17</v>
      </c>
      <c r="O27">
        <v>0</v>
      </c>
      <c r="P27">
        <v>13</v>
      </c>
      <c r="Q27">
        <v>39</v>
      </c>
      <c r="R27">
        <v>29</v>
      </c>
      <c r="S27">
        <v>0</v>
      </c>
      <c r="T27">
        <v>0</v>
      </c>
      <c r="U27">
        <v>40</v>
      </c>
      <c r="V27">
        <v>89</v>
      </c>
      <c r="W27">
        <v>1</v>
      </c>
      <c r="X27">
        <v>36</v>
      </c>
      <c r="Y27">
        <v>46</v>
      </c>
      <c r="Z27">
        <v>27</v>
      </c>
      <c r="AA27">
        <v>114</v>
      </c>
    </row>
    <row r="28" spans="1:27" x14ac:dyDescent="0.25">
      <c r="A28">
        <v>5</v>
      </c>
      <c r="B28">
        <v>6338</v>
      </c>
      <c r="C28" t="s">
        <v>365</v>
      </c>
      <c r="D28">
        <v>5</v>
      </c>
      <c r="E28">
        <v>0</v>
      </c>
      <c r="F28">
        <v>0</v>
      </c>
      <c r="G28">
        <v>7</v>
      </c>
      <c r="H28">
        <v>0</v>
      </c>
      <c r="I28">
        <v>0</v>
      </c>
      <c r="J28">
        <v>3</v>
      </c>
      <c r="K28">
        <v>7</v>
      </c>
      <c r="L28">
        <v>15</v>
      </c>
      <c r="M28">
        <v>0</v>
      </c>
      <c r="N28">
        <v>3</v>
      </c>
      <c r="O28">
        <v>0</v>
      </c>
      <c r="P28">
        <v>1</v>
      </c>
      <c r="Q28">
        <v>5</v>
      </c>
      <c r="R28">
        <v>10</v>
      </c>
      <c r="S28">
        <v>0</v>
      </c>
      <c r="T28">
        <v>0</v>
      </c>
      <c r="U28">
        <v>7</v>
      </c>
      <c r="V28">
        <v>25</v>
      </c>
      <c r="W28">
        <v>0</v>
      </c>
      <c r="X28">
        <v>7</v>
      </c>
      <c r="Y28">
        <v>18</v>
      </c>
      <c r="Z28">
        <v>5</v>
      </c>
      <c r="AA28">
        <v>32</v>
      </c>
    </row>
    <row r="29" spans="1:27" x14ac:dyDescent="0.25">
      <c r="A29">
        <v>5</v>
      </c>
      <c r="B29">
        <v>6339</v>
      </c>
      <c r="C29" t="s">
        <v>366</v>
      </c>
      <c r="D29">
        <v>13</v>
      </c>
      <c r="E29">
        <v>0</v>
      </c>
      <c r="F29">
        <v>2</v>
      </c>
      <c r="G29">
        <v>4</v>
      </c>
      <c r="H29">
        <v>0</v>
      </c>
      <c r="I29">
        <v>0</v>
      </c>
      <c r="J29">
        <v>11</v>
      </c>
      <c r="K29">
        <v>9</v>
      </c>
      <c r="L29">
        <v>13</v>
      </c>
      <c r="M29">
        <v>2</v>
      </c>
      <c r="N29">
        <v>6</v>
      </c>
      <c r="O29">
        <v>0</v>
      </c>
      <c r="P29">
        <v>1</v>
      </c>
      <c r="Q29">
        <v>16</v>
      </c>
      <c r="R29">
        <v>15</v>
      </c>
      <c r="S29">
        <v>5</v>
      </c>
      <c r="T29">
        <v>0</v>
      </c>
      <c r="U29">
        <v>15</v>
      </c>
      <c r="V29">
        <v>34</v>
      </c>
      <c r="W29">
        <v>1</v>
      </c>
      <c r="X29">
        <v>14</v>
      </c>
      <c r="Y29">
        <v>19</v>
      </c>
      <c r="Z29">
        <v>10</v>
      </c>
      <c r="AA29">
        <v>45</v>
      </c>
    </row>
    <row r="30" spans="1:27" x14ac:dyDescent="0.25">
      <c r="A30">
        <v>5</v>
      </c>
      <c r="B30">
        <v>6340</v>
      </c>
      <c r="C30" t="s">
        <v>367</v>
      </c>
      <c r="D30">
        <v>6</v>
      </c>
      <c r="E30">
        <v>0</v>
      </c>
      <c r="F30">
        <v>0</v>
      </c>
      <c r="G30">
        <v>4</v>
      </c>
      <c r="H30">
        <v>0</v>
      </c>
      <c r="I30">
        <v>0</v>
      </c>
      <c r="J30">
        <v>8</v>
      </c>
      <c r="K30">
        <v>8</v>
      </c>
      <c r="L30">
        <v>11</v>
      </c>
      <c r="M30">
        <v>7</v>
      </c>
      <c r="N30">
        <v>9</v>
      </c>
      <c r="O30">
        <v>2</v>
      </c>
      <c r="P30">
        <v>2</v>
      </c>
      <c r="Q30">
        <v>11</v>
      </c>
      <c r="R30">
        <v>20</v>
      </c>
      <c r="S30">
        <v>4</v>
      </c>
      <c r="T30">
        <v>0</v>
      </c>
      <c r="U30">
        <v>10</v>
      </c>
      <c r="V30">
        <v>38</v>
      </c>
      <c r="W30">
        <v>0</v>
      </c>
      <c r="X30">
        <v>10</v>
      </c>
      <c r="Y30">
        <v>23</v>
      </c>
      <c r="Z30">
        <v>8</v>
      </c>
      <c r="AA30">
        <v>44</v>
      </c>
    </row>
    <row r="31" spans="1:27" x14ac:dyDescent="0.25">
      <c r="A31">
        <v>5</v>
      </c>
      <c r="B31">
        <v>7238</v>
      </c>
      <c r="C31" t="s">
        <v>368</v>
      </c>
      <c r="D31">
        <v>12</v>
      </c>
      <c r="E31">
        <v>0</v>
      </c>
      <c r="F31">
        <v>1</v>
      </c>
      <c r="G31">
        <v>6</v>
      </c>
      <c r="H31">
        <v>0</v>
      </c>
      <c r="I31">
        <v>0</v>
      </c>
      <c r="J31">
        <v>7</v>
      </c>
      <c r="K31">
        <v>10</v>
      </c>
      <c r="L31">
        <v>13</v>
      </c>
      <c r="M31">
        <v>5</v>
      </c>
      <c r="N31">
        <v>7</v>
      </c>
      <c r="O31">
        <v>0</v>
      </c>
      <c r="P31">
        <v>4</v>
      </c>
      <c r="Q31">
        <v>11</v>
      </c>
      <c r="R31">
        <v>7</v>
      </c>
      <c r="S31">
        <v>1</v>
      </c>
      <c r="T31">
        <v>0</v>
      </c>
      <c r="U31">
        <v>16</v>
      </c>
      <c r="V31">
        <v>29</v>
      </c>
      <c r="W31">
        <v>1</v>
      </c>
      <c r="X31">
        <v>16</v>
      </c>
      <c r="Y31">
        <v>25</v>
      </c>
      <c r="Z31">
        <v>13</v>
      </c>
      <c r="AA31">
        <v>57</v>
      </c>
    </row>
    <row r="32" spans="1:27" x14ac:dyDescent="0.25">
      <c r="A32">
        <v>7</v>
      </c>
      <c r="B32">
        <v>6348</v>
      </c>
      <c r="C32" t="s">
        <v>67</v>
      </c>
      <c r="D32">
        <v>25</v>
      </c>
      <c r="E32">
        <v>6</v>
      </c>
      <c r="F32">
        <v>4</v>
      </c>
      <c r="G32">
        <v>5</v>
      </c>
      <c r="H32">
        <v>0</v>
      </c>
      <c r="I32">
        <v>51</v>
      </c>
      <c r="J32">
        <v>29</v>
      </c>
      <c r="K32">
        <v>45</v>
      </c>
      <c r="L32">
        <v>34</v>
      </c>
      <c r="M32">
        <v>2</v>
      </c>
      <c r="N32">
        <v>4</v>
      </c>
      <c r="O32">
        <v>0</v>
      </c>
      <c r="P32">
        <v>18</v>
      </c>
      <c r="Q32">
        <v>52</v>
      </c>
      <c r="R32">
        <v>11</v>
      </c>
      <c r="S32">
        <v>2</v>
      </c>
      <c r="T32">
        <v>0</v>
      </c>
      <c r="U32">
        <v>38</v>
      </c>
      <c r="V32">
        <v>65</v>
      </c>
      <c r="W32">
        <v>49</v>
      </c>
      <c r="X32">
        <v>48</v>
      </c>
      <c r="Y32">
        <v>60</v>
      </c>
      <c r="Z32">
        <v>36</v>
      </c>
      <c r="AA32">
        <v>182</v>
      </c>
    </row>
    <row r="33" spans="1:27" x14ac:dyDescent="0.25">
      <c r="A33">
        <v>7</v>
      </c>
      <c r="B33">
        <v>7297</v>
      </c>
      <c r="C33" t="s">
        <v>369</v>
      </c>
      <c r="D33">
        <v>2</v>
      </c>
      <c r="E33">
        <v>2</v>
      </c>
      <c r="F33">
        <v>2</v>
      </c>
      <c r="G33">
        <v>0</v>
      </c>
      <c r="H33">
        <v>0</v>
      </c>
      <c r="I33">
        <v>0</v>
      </c>
      <c r="J33">
        <v>6</v>
      </c>
      <c r="K33">
        <v>5</v>
      </c>
      <c r="L33">
        <v>3</v>
      </c>
      <c r="M33">
        <v>1</v>
      </c>
      <c r="N33">
        <v>2</v>
      </c>
      <c r="O33">
        <v>0</v>
      </c>
      <c r="P33">
        <v>0</v>
      </c>
      <c r="Q33">
        <v>13</v>
      </c>
      <c r="R33">
        <v>1</v>
      </c>
      <c r="S33">
        <v>0</v>
      </c>
      <c r="T33">
        <v>0</v>
      </c>
      <c r="U33">
        <v>10</v>
      </c>
      <c r="V33">
        <v>11</v>
      </c>
      <c r="W33">
        <v>5</v>
      </c>
      <c r="X33">
        <v>10</v>
      </c>
      <c r="Y33">
        <v>9</v>
      </c>
      <c r="Z33">
        <v>16</v>
      </c>
      <c r="AA33">
        <v>41</v>
      </c>
    </row>
    <row r="34" spans="1:27" x14ac:dyDescent="0.25">
      <c r="A34">
        <v>7</v>
      </c>
      <c r="B34">
        <v>10516</v>
      </c>
      <c r="C34" t="s">
        <v>370</v>
      </c>
      <c r="D34">
        <v>7</v>
      </c>
      <c r="E34">
        <v>0</v>
      </c>
      <c r="F34">
        <v>0</v>
      </c>
      <c r="G34">
        <v>4</v>
      </c>
      <c r="H34">
        <v>0</v>
      </c>
      <c r="I34">
        <v>0</v>
      </c>
      <c r="J34">
        <v>5</v>
      </c>
      <c r="K34">
        <v>5</v>
      </c>
      <c r="L34">
        <v>1</v>
      </c>
      <c r="M34">
        <v>1</v>
      </c>
      <c r="N34">
        <v>0</v>
      </c>
      <c r="O34">
        <v>0</v>
      </c>
      <c r="P34">
        <v>2</v>
      </c>
      <c r="Q34">
        <v>9</v>
      </c>
      <c r="R34">
        <v>11</v>
      </c>
      <c r="S34">
        <v>0</v>
      </c>
      <c r="T34">
        <v>0</v>
      </c>
      <c r="U34">
        <v>7</v>
      </c>
      <c r="V34">
        <v>17</v>
      </c>
      <c r="W34">
        <v>22</v>
      </c>
      <c r="X34">
        <v>7</v>
      </c>
      <c r="Y34">
        <v>17</v>
      </c>
      <c r="Z34">
        <v>6</v>
      </c>
      <c r="AA34">
        <v>30</v>
      </c>
    </row>
    <row r="35" spans="1:27" x14ac:dyDescent="0.25">
      <c r="A35">
        <v>8</v>
      </c>
      <c r="B35">
        <v>6326</v>
      </c>
      <c r="C35" t="s">
        <v>62</v>
      </c>
      <c r="D35">
        <v>30</v>
      </c>
      <c r="E35">
        <v>0</v>
      </c>
      <c r="F35">
        <v>1</v>
      </c>
      <c r="G35">
        <v>17</v>
      </c>
      <c r="H35">
        <v>0</v>
      </c>
      <c r="I35">
        <v>1</v>
      </c>
      <c r="J35">
        <v>14</v>
      </c>
      <c r="K35">
        <v>35</v>
      </c>
      <c r="L35">
        <v>23</v>
      </c>
      <c r="M35">
        <v>9</v>
      </c>
      <c r="N35">
        <v>18</v>
      </c>
      <c r="O35">
        <v>0</v>
      </c>
      <c r="P35">
        <v>43</v>
      </c>
      <c r="Q35">
        <v>36</v>
      </c>
      <c r="R35">
        <v>28</v>
      </c>
      <c r="S35">
        <v>1</v>
      </c>
      <c r="T35">
        <v>0</v>
      </c>
      <c r="U35">
        <v>41</v>
      </c>
      <c r="V35">
        <v>61</v>
      </c>
      <c r="W35">
        <v>43</v>
      </c>
      <c r="X35">
        <v>22</v>
      </c>
      <c r="Y35">
        <v>28</v>
      </c>
      <c r="Z35">
        <v>33</v>
      </c>
      <c r="AA35">
        <v>95</v>
      </c>
    </row>
    <row r="36" spans="1:27" x14ac:dyDescent="0.25">
      <c r="A36">
        <v>8</v>
      </c>
      <c r="B36">
        <v>6329</v>
      </c>
      <c r="C36" t="s">
        <v>371</v>
      </c>
      <c r="D36">
        <v>2</v>
      </c>
      <c r="E36">
        <v>0</v>
      </c>
      <c r="F36">
        <v>0</v>
      </c>
      <c r="G36">
        <v>3</v>
      </c>
      <c r="H36">
        <v>0</v>
      </c>
      <c r="I36">
        <v>0</v>
      </c>
      <c r="J36">
        <v>1</v>
      </c>
      <c r="K36">
        <v>4</v>
      </c>
      <c r="L36">
        <v>4</v>
      </c>
      <c r="M36">
        <v>0</v>
      </c>
      <c r="N36">
        <v>3</v>
      </c>
      <c r="O36">
        <v>0</v>
      </c>
      <c r="P36">
        <v>2</v>
      </c>
      <c r="Q36">
        <v>1</v>
      </c>
      <c r="R36">
        <v>4</v>
      </c>
      <c r="S36">
        <v>2</v>
      </c>
      <c r="T36">
        <v>0</v>
      </c>
      <c r="U36">
        <v>4</v>
      </c>
      <c r="V36">
        <v>10</v>
      </c>
      <c r="W36">
        <v>9</v>
      </c>
      <c r="X36">
        <v>2</v>
      </c>
      <c r="Y36">
        <v>6</v>
      </c>
      <c r="Z36">
        <v>3</v>
      </c>
      <c r="AA36">
        <v>11</v>
      </c>
    </row>
    <row r="37" spans="1:27" x14ac:dyDescent="0.25">
      <c r="A37">
        <v>8</v>
      </c>
      <c r="B37">
        <v>6330</v>
      </c>
      <c r="C37" t="s">
        <v>372</v>
      </c>
      <c r="D37">
        <v>3</v>
      </c>
      <c r="E37">
        <v>1</v>
      </c>
      <c r="F37">
        <v>0</v>
      </c>
      <c r="G37">
        <v>4</v>
      </c>
      <c r="H37">
        <v>0</v>
      </c>
      <c r="I37">
        <v>0</v>
      </c>
      <c r="J37">
        <v>5</v>
      </c>
      <c r="K37">
        <v>8</v>
      </c>
      <c r="L37">
        <v>9</v>
      </c>
      <c r="M37">
        <v>1</v>
      </c>
      <c r="N37">
        <v>1</v>
      </c>
      <c r="O37">
        <v>0</v>
      </c>
      <c r="P37">
        <v>2</v>
      </c>
      <c r="Q37">
        <v>4</v>
      </c>
      <c r="R37">
        <v>10</v>
      </c>
      <c r="S37">
        <v>0</v>
      </c>
      <c r="T37">
        <v>0</v>
      </c>
      <c r="U37">
        <v>6</v>
      </c>
      <c r="V37">
        <v>21</v>
      </c>
      <c r="W37">
        <v>8</v>
      </c>
      <c r="X37">
        <v>6</v>
      </c>
      <c r="Y37">
        <v>7</v>
      </c>
      <c r="Z37">
        <v>1</v>
      </c>
      <c r="AA37">
        <v>18</v>
      </c>
    </row>
    <row r="38" spans="1:27" x14ac:dyDescent="0.25">
      <c r="A38">
        <v>8</v>
      </c>
      <c r="B38">
        <v>6331</v>
      </c>
      <c r="C38" t="s">
        <v>373</v>
      </c>
      <c r="D38">
        <v>2</v>
      </c>
      <c r="E38">
        <v>0</v>
      </c>
      <c r="F38">
        <v>0</v>
      </c>
      <c r="G38">
        <v>3</v>
      </c>
      <c r="H38">
        <v>0</v>
      </c>
      <c r="I38">
        <v>0</v>
      </c>
      <c r="J38">
        <v>3</v>
      </c>
      <c r="K38">
        <v>1</v>
      </c>
      <c r="L38">
        <v>6</v>
      </c>
      <c r="M38">
        <v>2</v>
      </c>
      <c r="N38">
        <v>3</v>
      </c>
      <c r="O38">
        <v>0</v>
      </c>
      <c r="P38">
        <v>2</v>
      </c>
      <c r="Q38">
        <v>4</v>
      </c>
      <c r="R38">
        <v>2</v>
      </c>
      <c r="S38">
        <v>0</v>
      </c>
      <c r="T38">
        <v>0</v>
      </c>
      <c r="U38">
        <v>2</v>
      </c>
      <c r="V38">
        <v>4</v>
      </c>
      <c r="W38">
        <v>6</v>
      </c>
      <c r="X38">
        <v>3</v>
      </c>
      <c r="Y38">
        <v>8</v>
      </c>
      <c r="Z38">
        <v>1</v>
      </c>
      <c r="AA38">
        <v>14</v>
      </c>
    </row>
    <row r="39" spans="1:27" x14ac:dyDescent="0.25">
      <c r="A39">
        <v>10</v>
      </c>
      <c r="B39">
        <v>6322</v>
      </c>
      <c r="C39" t="s">
        <v>73</v>
      </c>
      <c r="D39">
        <v>49</v>
      </c>
      <c r="E39">
        <v>0</v>
      </c>
      <c r="F39">
        <v>2</v>
      </c>
      <c r="G39">
        <v>14</v>
      </c>
      <c r="H39">
        <v>0</v>
      </c>
      <c r="I39">
        <v>14</v>
      </c>
      <c r="J39">
        <v>25</v>
      </c>
      <c r="K39">
        <v>23</v>
      </c>
      <c r="L39">
        <v>20</v>
      </c>
      <c r="M39">
        <v>5</v>
      </c>
      <c r="N39">
        <v>2</v>
      </c>
      <c r="O39">
        <v>8</v>
      </c>
      <c r="P39">
        <v>26</v>
      </c>
      <c r="Q39">
        <v>39</v>
      </c>
      <c r="R39">
        <v>30</v>
      </c>
      <c r="S39">
        <v>3</v>
      </c>
      <c r="T39">
        <v>0</v>
      </c>
      <c r="U39">
        <v>22</v>
      </c>
      <c r="V39">
        <v>14</v>
      </c>
      <c r="W39">
        <v>9</v>
      </c>
      <c r="X39">
        <v>40</v>
      </c>
      <c r="Y39">
        <v>34</v>
      </c>
      <c r="Z39">
        <v>14</v>
      </c>
      <c r="AA39">
        <v>106</v>
      </c>
    </row>
    <row r="40" spans="1:27" x14ac:dyDescent="0.25">
      <c r="A40">
        <v>10</v>
      </c>
      <c r="B40">
        <v>6323</v>
      </c>
      <c r="C40" t="s">
        <v>374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0</v>
      </c>
      <c r="N40">
        <v>0</v>
      </c>
      <c r="O40">
        <v>1</v>
      </c>
      <c r="P40">
        <v>3</v>
      </c>
      <c r="Q40">
        <v>6</v>
      </c>
      <c r="R40">
        <v>0</v>
      </c>
      <c r="S40">
        <v>0</v>
      </c>
      <c r="T40">
        <v>0</v>
      </c>
      <c r="U40">
        <v>4</v>
      </c>
      <c r="V40">
        <v>2</v>
      </c>
      <c r="W40">
        <v>0</v>
      </c>
      <c r="X40">
        <v>7</v>
      </c>
      <c r="Y40">
        <v>4</v>
      </c>
      <c r="Z40">
        <v>6</v>
      </c>
      <c r="AA40">
        <v>28</v>
      </c>
    </row>
    <row r="41" spans="1:27" x14ac:dyDescent="0.25">
      <c r="A41">
        <v>10</v>
      </c>
      <c r="B41">
        <v>6324</v>
      </c>
      <c r="C41" t="s">
        <v>375</v>
      </c>
      <c r="D41">
        <v>6</v>
      </c>
      <c r="E41">
        <v>0</v>
      </c>
      <c r="F41">
        <v>0</v>
      </c>
      <c r="G41">
        <v>3</v>
      </c>
      <c r="H41">
        <v>0</v>
      </c>
      <c r="I41">
        <v>0</v>
      </c>
      <c r="J41">
        <v>2</v>
      </c>
      <c r="K41">
        <v>2</v>
      </c>
      <c r="L41">
        <v>3</v>
      </c>
      <c r="M41">
        <v>0</v>
      </c>
      <c r="N41">
        <v>0</v>
      </c>
      <c r="O41">
        <v>0</v>
      </c>
      <c r="P41">
        <v>13</v>
      </c>
      <c r="Q41">
        <v>6</v>
      </c>
      <c r="R41">
        <v>3</v>
      </c>
      <c r="S41">
        <v>0</v>
      </c>
      <c r="T41">
        <v>0</v>
      </c>
      <c r="U41">
        <v>5</v>
      </c>
      <c r="V41">
        <v>8</v>
      </c>
      <c r="W41">
        <v>0</v>
      </c>
      <c r="X41">
        <v>4</v>
      </c>
      <c r="Y41">
        <v>2</v>
      </c>
      <c r="Z41">
        <v>8</v>
      </c>
      <c r="AA41">
        <v>26</v>
      </c>
    </row>
    <row r="42" spans="1:27" x14ac:dyDescent="0.25">
      <c r="A42">
        <v>10</v>
      </c>
      <c r="B42">
        <v>6325</v>
      </c>
      <c r="C42" t="s">
        <v>376</v>
      </c>
      <c r="D42">
        <v>11</v>
      </c>
      <c r="E42">
        <v>0</v>
      </c>
      <c r="F42">
        <v>0</v>
      </c>
      <c r="G42">
        <v>4</v>
      </c>
      <c r="H42">
        <v>0</v>
      </c>
      <c r="I42">
        <v>0</v>
      </c>
      <c r="J42">
        <v>11</v>
      </c>
      <c r="K42">
        <v>11</v>
      </c>
      <c r="L42">
        <v>8</v>
      </c>
      <c r="M42">
        <v>0</v>
      </c>
      <c r="N42">
        <v>0</v>
      </c>
      <c r="O42">
        <v>0</v>
      </c>
      <c r="P42">
        <v>14</v>
      </c>
      <c r="Q42">
        <v>18</v>
      </c>
      <c r="R42">
        <v>19</v>
      </c>
      <c r="S42">
        <v>0</v>
      </c>
      <c r="T42">
        <v>0</v>
      </c>
      <c r="U42">
        <v>5</v>
      </c>
      <c r="V42">
        <v>6</v>
      </c>
      <c r="W42">
        <v>0</v>
      </c>
      <c r="X42">
        <v>15</v>
      </c>
      <c r="Y42">
        <v>17</v>
      </c>
      <c r="Z42">
        <v>8</v>
      </c>
      <c r="AA42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s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A Y V z M 6 0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z O x M N Y z s N G H C d r 4 Z u Y h F B g B H Q y S R R K 0 c S 7 N K S k t S r V L L d Y N c L X R h 3 F t 9 K F + s A M A A A D / / w M A U E s D B B Q A A g A I A A A A I Q A x H B z w q g A A A B w B A A A T A A A A R m 9 y b X V s Y X M v U 2 V j d G l v b j E u b Y S O M Q v C M B S E 9 0 L / Q 4 i L Q h G c S z Y X Q R H N W E p 4 T R 9 t I E 0 g L y 2 I + N + N F I e 4 e M v B w d 1 3 h D o a 7 5 h c / V A X B Y 0 Q s G c b 3 n e K w J k I w X h i i 4 I F n E a F S M S Z Y B Z j W b C k a z A D u p R c H v J 2 3 h 8 h Q g e E W 2 6 9 B j t 6 i r x i + V o K m j v G O T h p 3 G D x 2 x E x z N j u q n U 4 q 6 j s Q K K t 2 G c j 9 Y g T i F / A K e I k e P 6 6 f T U f U l s W x v 1 F 1 G 8 A A A D / / w M A U E s B A i 0 A F A A G A A g A A A A h A C r d q k D S A A A A N w E A A B M A A A A A A A A A A A A A A A A A A A A A A F t D b 2 5 0 Z W 5 0 X 1 R 5 c G V z X S 5 4 b W x Q S w E C L Q A U A A I A C A A A A C E A A Y V z M 6 0 A A A D 3 A A A A E g A A A A A A A A A A A A A A A A A L A w A A Q 2 9 u Z m l n L 1 B h Y 2 t h Z 2 U u e G 1 s U E s B A i 0 A F A A C A A g A A A A h A D E c H P C q A A A A H A E A A B M A A A A A A A A A A A A A A A A A 6 A M A A E Z v c m 1 1 b G F z L 1 N l Y 3 R p b 2 4 x L m 1 Q S w U G A A A A A A M A A w D C A A A A w w Q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o S A A A A A A A A 2 B I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k Y l 9 z Y W 5 p d G F y a W 9 z J T I w d l 9 h d m F u Y 2 V f Z W V z c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c t M T V U M j A 6 M j M 6 N D E u O D Y 1 O D M 0 M V o i L z 4 8 R W 5 0 c n k g V H l w Z T 0 i R m l s b E N v b H V t b l R 5 c G V z I i B W Y W x 1 Z T 0 i c 0 F n S U N B Z 0 l H Q m d Z Q 0 J n W T 0 i L z 4 8 R W 5 0 c n k g V H l w Z T 0 i R m l s b E N v b H V t b k 5 h b W V z I i B W Y W x 1 Z T 0 i c 1 s m c X V v d D t p Z G F y Z W E m c X V v d D s s J n F 1 b 3 Q 7 a W R p b m R p Y 2 F k b 3 I m c X V v d D s s J n F 1 b 3 Q 7 Y W 5 p b y Z x d W 9 0 O y w m c X V v d D t t Z X M m c X V v d D s s J n F 1 b 3 Q 7 Q 2 9 k a W d v X 0 1 p Y 3 J v U m V k J n F 1 b 3 Q 7 L C Z x d W 9 0 O 2 l u Z G l j Y W R v c i Z x d W 9 0 O y w m c X V v d D t O b 2 1 i c m V f R X N 0 Y W J s Z W N p b W l l b n R v J n F 1 b 3 Q 7 L C Z x d W 9 0 O 0 N v Z G l n b 1 9 V b m l j b y Z x d W 9 0 O y w m c X V v d D t 0 b 3 R h b C Z x d W 9 0 O y w m c X V v d D t N a W N y b 1 J l Z C Z x d W 9 0 O y w m c X V v d D t h c m V h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w N D g 2 N j E z N C 1 m M j I 2 L T R l M 2 I t Y j J m Y S 1 i M z N m Y z g w N z I z N 2 E i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T X l T c W w v b G 9 j Y W x o b 3 N 0 O 2 R i X 3 N h b m l 0 Y X J p b 3 M v Z G J f c 2 F u a X R h c m l v c y 9 k Y l 9 z Y W 5 p d G F y a W 9 z L n Z f Y X Z h b m N l X 2 V l c 3 M u e 2 l k Y X J l Y S w w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p Z G l u Z G l j Y W R v c i w x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h b m l v L D J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2 1 l c y w z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D b 2 R p Z 2 9 f T W l j c m 9 S Z W Q s N H 0 m c X V v d D s s J n F 1 b 3 Q 7 U 2 V y d m V y L k R h d G F i Y X N l X F w v M i 9 N e V N x b C 9 s b 2 N h b G h v c 3 Q 7 Z G J f c 2 F u a X R h c m l v c y 9 k Y l 9 z Y W 5 p d G F y a W 9 z L 2 R i X 3 N h b m l 0 Y X J p b 3 M u d l 9 h d m F u Y 2 V f Z W V z c y 5 7 a W 5 k a W N h Z G 9 y L D V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0 5 v b W J y Z V 9 F c 3 R h Y m x l Y 2 l t a W V u d G 8 s N n 0 m c X V v d D s s J n F 1 b 3 Q 7 U 2 V y d m V y L k R h d G F i Y X N l X F w v M i 9 N e V N x b C 9 s b 2 N h b G h v c 3 Q 7 Z G J f c 2 F u a X R h c m l v c y 9 k Y l 9 z Y W 5 p d G F y a W 9 z L 2 R i X 3 N h b m l 0 Y X J p b 3 M u d l 9 h d m F u Y 2 V f Z W V z c y 5 7 Q 2 9 k a W d v X 1 V u a W N v L D d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3 R v d G F s L D h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0 1 p Y 3 J v U m V k L D l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2 F y Z W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X J 2 Z X I u R G F 0 Y W J h c 2 V c X C 8 y L 0 1 5 U 3 F s L 2 x v Y 2 F s a G 9 z d D t k Y l 9 z Y W 5 p d G F y a W 9 z L 2 R i X 3 N h b m l 0 Y X J p b 3 M v Z G J f c 2 F u a X R h c m l v c y 5 2 X 2 F 2 Y W 5 j Z V 9 l Z X N z L n t p Z G F y Z W E s M H 0 m c X V v d D s s J n F 1 b 3 Q 7 U 2 V y d m V y L k R h d G F i Y X N l X F w v M i 9 N e V N x b C 9 s b 2 N h b G h v c 3 Q 7 Z G J f c 2 F u a X R h c m l v c y 9 k Y l 9 z Y W 5 p d G F y a W 9 z L 2 R i X 3 N h b m l 0 Y X J p b 3 M u d l 9 h d m F u Y 2 V f Z W V z c y 5 7 a W R p b m R p Y 2 F k b 3 I s M X 0 m c X V v d D s s J n F 1 b 3 Q 7 U 2 V y d m V y L k R h d G F i Y X N l X F w v M i 9 N e V N x b C 9 s b 2 N h b G h v c 3 Q 7 Z G J f c 2 F u a X R h c m l v c y 9 k Y l 9 z Y W 5 p d G F y a W 9 z L 2 R i X 3 N h b m l 0 Y X J p b 3 M u d l 9 h d m F u Y 2 V f Z W V z c y 5 7 Y W 5 p b y w y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t Z X M s M 3 0 m c X V v d D s s J n F 1 b 3 Q 7 U 2 V y d m V y L k R h d G F i Y X N l X F w v M i 9 N e V N x b C 9 s b 2 N h b G h v c 3 Q 7 Z G J f c 2 F u a X R h c m l v c y 9 k Y l 9 z Y W 5 p d G F y a W 9 z L 2 R i X 3 N h b m l 0 Y X J p b 3 M u d l 9 h d m F u Y 2 V f Z W V z c y 5 7 Q 2 9 k a W d v X 0 1 p Y 3 J v U m V k L D R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2 l u Z G l j Y W R v c i w 1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O b 2 1 i c m V f R X N 0 Y W J s Z W N p b W l l b n R v L D Z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0 N v Z G l n b 1 9 V b m l j b y w 3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0 b 3 R h b C w 4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N a W N y b 1 J l Z C w 5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h c m V h L D E w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Z G J f c 2 F u a X R h c m l v c y U y M H Z f Y X Z h b m N l X 2 V l c 3 M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Y l 9 z Y W 5 p d G F y a W 9 z J T I w d l 9 h d m F u Y 2 V f Z W V z c y 9 k Y l 9 z Y W 5 p d G F y a W 9 z X 3 Z f Y X Z h b m N l X 2 V l c 3 M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5 g Z X T U I g 1 N r p j T t X s b V o I A A A A A A g A A A A A A E G Y A A A A B A A A g A A A A i K 4 r S S G c Y c L R B 1 n d b S o 8 Q W L n I H 0 / / X B l C F A 1 6 w r F v y A A A A A A D o A A A A A C A A A g A A A A z S X m K d q 5 d s Y 4 V B 0 z T 5 V K N j i p / e P 0 E M O U 2 h 0 H E r O k v F x Q A A A A v 4 9 P S / a 2 3 l F k w D Y R J 5 m Y c U e S h z Q f 8 A E Z 1 z 2 3 T t j C 4 v y M H i b Q I d N w N + b A z p 6 E G S 4 F x Z J V E C f z + n 0 p g Z Y j G + j O w t k w P h E 1 5 8 K M F B 8 V X 1 W 5 t y Z A A A A A D p P + z N r q O j o V b N q 1 9 c S O N L G Z w B d 0 o N K u u S 3 7 b 1 E A e r 1 T m e 1 m n 7 N q m X f k Z p n G Q m a p R V Y D C E 3 B x P b X 2 y 0 U a P B K K A = = < / D a t a M a s h u p > 
</file>

<file path=customXml/itemProps1.xml><?xml version="1.0" encoding="utf-8"?>
<ds:datastoreItem xmlns:ds="http://schemas.openxmlformats.org/officeDocument/2006/customXml" ds:itemID="{A60A3337-3879-42B9-871E-83D77B051F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49</vt:i4>
      </vt:variant>
    </vt:vector>
  </HeadingPairs>
  <TitlesOfParts>
    <vt:vector size="55" baseType="lpstr">
      <vt:lpstr>Config</vt:lpstr>
      <vt:lpstr>METAS</vt:lpstr>
      <vt:lpstr>ACUMULADO</vt:lpstr>
      <vt:lpstr>NIÑO</vt:lpstr>
      <vt:lpstr>NUTRICION</vt:lpstr>
      <vt:lpstr>Hoja1</vt:lpstr>
      <vt:lpstr>NIÑO!Área_de_impresión</vt:lpstr>
      <vt:lpstr>NUTRICION!Área_de_impresión</vt:lpstr>
      <vt:lpstr>ATENDIDA</vt:lpstr>
      <vt:lpstr>AY20.</vt:lpstr>
      <vt:lpstr>META_ADUL_JOVEN_CONSEJERIA_VIH_ITS</vt:lpstr>
      <vt:lpstr>META_ANIMAL_MORDEDOR_CONTROLADO</vt:lpstr>
      <vt:lpstr>META_ATENCION_ODONTOLOGICA_PREVENTIVA</vt:lpstr>
      <vt:lpstr>META_CANES_VACUNADOS</vt:lpstr>
      <vt:lpstr>META_CETIFICACION_DISCAPACIDAD</vt:lpstr>
      <vt:lpstr>META_DESPARACITACION_3_17ANIOS</vt:lpstr>
      <vt:lpstr>META_DOCENTES_CAPACITADOS_CANCER</vt:lpstr>
      <vt:lpstr>META_ERRORES_REFRACTARIOS_3_11ANIOS</vt:lpstr>
      <vt:lpstr>META_ESTRATEGIA_DRIANZA</vt:lpstr>
      <vt:lpstr>META_INFLUE_60MAS</vt:lpstr>
      <vt:lpstr>META_IVAA</vt:lpstr>
      <vt:lpstr>META_MAMAS</vt:lpstr>
      <vt:lpstr>META_MUESTRA_POSITIVAS_MURCIELAGOS</vt:lpstr>
      <vt:lpstr>META_MUESTRAS_CANINAS_REMITIDAS</vt:lpstr>
      <vt:lpstr>META_NEUMO_60MAS</vt:lpstr>
      <vt:lpstr>META_PAP</vt:lpstr>
      <vt:lpstr>META_PAREJAS_PROTEGIDAS</vt:lpstr>
      <vt:lpstr>META_PERSONAS_MORDIDAS</vt:lpstr>
      <vt:lpstr>META_PERSONAS_MORDIDAS_CONTROLADAS</vt:lpstr>
      <vt:lpstr>META_PERSONAS_MORDIDAS_INICIAN_TRATAMIENTO</vt:lpstr>
      <vt:lpstr>META_PUERPERAS_CONTOLADAS</vt:lpstr>
      <vt:lpstr>META_RABIA_CANINA</vt:lpstr>
      <vt:lpstr>META_SEGUNDA_ATEN_DONT</vt:lpstr>
      <vt:lpstr>META_SESION_ENTRANAMIENTO_ADOLESCENTES</vt:lpstr>
      <vt:lpstr>META_SESION_ENTRENAMIENTO_NIÑOS</vt:lpstr>
      <vt:lpstr>META_SRI</vt:lpstr>
      <vt:lpstr>META_SUPLE_HIERRO</vt:lpstr>
      <vt:lpstr>META_TAMIZAJE_CATARATA</vt:lpstr>
      <vt:lpstr>META_TAMIZAJE_DEPRE_ALVOHOL_CONDUCTA_SUICIDA</vt:lpstr>
      <vt:lpstr>META_TAMIZAJE_GLAUCOMA</vt:lpstr>
      <vt:lpstr>META_TAMIZAJE_VIF</vt:lpstr>
      <vt:lpstr>META_TAMIZAJE_VIF_0_17</vt:lpstr>
      <vt:lpstr>META_TAMIZAJE_VIH_SIFILIS</vt:lpstr>
      <vt:lpstr>META_TTO_ANSIEDAD</vt:lpstr>
      <vt:lpstr>META_TTO_CONDUCTA_SUICIDA</vt:lpstr>
      <vt:lpstr>META_TTO_DEPRESION</vt:lpstr>
      <vt:lpstr>META_TTO_MALTRATO_0_17</vt:lpstr>
      <vt:lpstr>META_TTO_TRANSTORNO_AUTISTA_0_17</vt:lpstr>
      <vt:lpstr>META_TTO_TRANSTORNOS_MENTALES_0_17</vt:lpstr>
      <vt:lpstr>META_TTO_VIF</vt:lpstr>
      <vt:lpstr>META_VALORACION_60MAS</vt:lpstr>
      <vt:lpstr>META_VPH_9AÑIOS</vt:lpstr>
      <vt:lpstr>POBLACION_TOTAL</vt:lpstr>
      <vt:lpstr>NIÑO!Print_Area</vt:lpstr>
      <vt:lpstr>NUTRICION!Print_Area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</dc:title>
  <dc:creator>wilson Díaz Bustamante - wildibust@hotmail.com</dc:creator>
  <cp:keywords>Indicadores</cp:keywords>
  <cp:lastModifiedBy>Estadistica</cp:lastModifiedBy>
  <cp:lastPrinted>2022-03-03T13:02:33Z</cp:lastPrinted>
  <dcterms:created xsi:type="dcterms:W3CDTF">2006-09-12T12:46:56Z</dcterms:created>
  <dcterms:modified xsi:type="dcterms:W3CDTF">2022-11-03T14:13:46Z</dcterms:modified>
  <cp:category>Estadística</cp:category>
</cp:coreProperties>
</file>