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charts/chart7.xml" ContentType="application/vnd.openxmlformats-officedocument.drawingml.chart+xml"/>
  <Override PartName="/xl/charts/style2.xml" ContentType="application/vnd.ms-office.chartstyle+xml"/>
  <Override PartName="/xl/charts/colors2.xml" ContentType="application/vnd.ms-office.chartcolorstyle+xml"/>
  <Override PartName="/xl/charts/chart8.xml" ContentType="application/vnd.openxmlformats-officedocument.drawingml.chart+xml"/>
  <Override PartName="/xl/charts/style3.xml" ContentType="application/vnd.ms-office.chartstyle+xml"/>
  <Override PartName="/xl/charts/colors3.xml" ContentType="application/vnd.ms-office.chartcolorstyle+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defaultThemeVersion="124226"/>
  <mc:AlternateContent xmlns:mc="http://schemas.openxmlformats.org/markup-compatibility/2006">
    <mc:Choice Requires="x15">
      <x15ac:absPath xmlns:x15ac="http://schemas.microsoft.com/office/spreadsheetml/2010/11/ac" url="C:\Users\OGESS-AM 01\Desktop\"/>
    </mc:Choice>
  </mc:AlternateContent>
  <xr:revisionPtr revIDLastSave="0" documentId="13_ncr:1_{C512AE29-43FE-4B94-B599-1C8645B05009}" xr6:coauthVersionLast="47" xr6:coauthVersionMax="47" xr10:uidLastSave="{00000000-0000-0000-0000-000000000000}"/>
  <bookViews>
    <workbookView xWindow="-120" yWindow="-120" windowWidth="29040" windowHeight="15720" tabRatio="800" firstSheet="8" activeTab="12" xr2:uid="{54B65359-4C49-4242-B152-1767050A0E63}"/>
  </bookViews>
  <sheets>
    <sheet name="Portada" sheetId="8" r:id="rId1"/>
    <sheet name="Glosario" sheetId="6" r:id="rId2"/>
    <sheet name="Ficha" sheetId="17" r:id="rId3"/>
    <sheet name="Indicadores" sheetId="1" r:id="rId4"/>
    <sheet name="F1" sheetId="31" state="hidden" r:id="rId5"/>
    <sheet name="F2" sheetId="14" r:id="rId6"/>
    <sheet name="Hoja1" sheetId="32" state="hidden" r:id="rId7"/>
    <sheet name="Tablero de mando" sheetId="19" r:id="rId8"/>
    <sheet name="Performance" sheetId="18" r:id="rId9"/>
    <sheet name="Graficos" sheetId="30" r:id="rId10"/>
    <sheet name="L&amp;D" sheetId="22" r:id="rId11"/>
    <sheet name="Rk_Dorado" sheetId="38" r:id="rId12"/>
    <sheet name="Data_Numerador" sheetId="35" r:id="rId13"/>
    <sheet name="Atend_Atenc" sheetId="36" r:id="rId14"/>
    <sheet name="Data_Denominador" sheetId="34" r:id="rId15"/>
  </sheets>
  <definedNames>
    <definedName name="_xlnm._FilterDatabase" localSheetId="11" hidden="1">Rk_Dorado!$A$16:$D$24</definedName>
    <definedName name="_xlnm.Print_Area" localSheetId="5">'F2'!$A$1:$W$37</definedName>
    <definedName name="_xlnm.Print_Area" localSheetId="2">Ficha!$A$1:$F$34</definedName>
    <definedName name="_xlnm.Print_Area" localSheetId="3">Indicadores!$B$1:$M$44</definedName>
    <definedName name="_xlnm.Print_Area" localSheetId="10">'L&amp;D'!$A$1:$C$28</definedName>
    <definedName name="_xlnm.Print_Area" localSheetId="8">Performance!$A$1:$H$35</definedName>
    <definedName name="_xlnm.Print_Area" localSheetId="0">Portada!$D$1:$N$23</definedName>
    <definedName name="BK">Data_Denominador!$H$1</definedName>
    <definedName name="KB">Data_Denominador!$H$1</definedName>
    <definedName name="MICRORED">Data_Numerador!$C$5:$C$8</definedName>
    <definedName name="REDES">Data_Numerador!$B$5:$B$8</definedName>
    <definedName name="_xlnm.Print_Titles" localSheetId="5">'F2'!$1:$7</definedName>
    <definedName name="_xlnm.Print_Titles" localSheetId="3">Indicadores!$1:$3</definedName>
  </definedNames>
  <calcPr calcId="191029"/>
</workbook>
</file>

<file path=xl/calcChain.xml><?xml version="1.0" encoding="utf-8"?>
<calcChain xmlns="http://schemas.openxmlformats.org/spreadsheetml/2006/main">
  <c r="BA7" i="34" l="1"/>
  <c r="BA8" i="34"/>
  <c r="BA9" i="34"/>
  <c r="BA10" i="34"/>
  <c r="BA11" i="34"/>
  <c r="BA6" i="34"/>
  <c r="AV7" i="34"/>
  <c r="AV8" i="34"/>
  <c r="AV9" i="34"/>
  <c r="AV10" i="34"/>
  <c r="AV11" i="34"/>
  <c r="AQ7" i="34"/>
  <c r="AQ8" i="34"/>
  <c r="AQ9" i="34"/>
  <c r="AQ10" i="34"/>
  <c r="AQ11" i="34"/>
  <c r="AL7" i="34"/>
  <c r="AL8" i="34"/>
  <c r="AL9" i="34"/>
  <c r="AL10" i="34"/>
  <c r="AL11" i="34"/>
  <c r="AL6" i="34"/>
  <c r="AH7" i="34"/>
  <c r="AI7" i="34"/>
  <c r="AJ7" i="34"/>
  <c r="AK7" i="34"/>
  <c r="AH8" i="34"/>
  <c r="AI8" i="34"/>
  <c r="AJ8" i="34"/>
  <c r="AK8" i="34"/>
  <c r="AH9" i="34"/>
  <c r="AI9" i="34"/>
  <c r="AJ9" i="34"/>
  <c r="AK9" i="34"/>
  <c r="AH10" i="34"/>
  <c r="AI10" i="34"/>
  <c r="AJ10" i="34"/>
  <c r="AK10" i="34"/>
  <c r="AH11" i="34"/>
  <c r="AI11" i="34"/>
  <c r="AJ11" i="34"/>
  <c r="AK11" i="34"/>
  <c r="AC7" i="34"/>
  <c r="AD7" i="34"/>
  <c r="AE7" i="34"/>
  <c r="AF7" i="34"/>
  <c r="AC8" i="34"/>
  <c r="AD8" i="34"/>
  <c r="AE8" i="34"/>
  <c r="AF8" i="34"/>
  <c r="AC9" i="34"/>
  <c r="AD9" i="34"/>
  <c r="AE9" i="34"/>
  <c r="AF9" i="34"/>
  <c r="AC10" i="34"/>
  <c r="AD10" i="34"/>
  <c r="AE10" i="34"/>
  <c r="AF10" i="34"/>
  <c r="AC11" i="34"/>
  <c r="AD11" i="34"/>
  <c r="AE11" i="34"/>
  <c r="AF11" i="34"/>
  <c r="X7" i="34"/>
  <c r="Y7" i="34"/>
  <c r="Z7" i="34"/>
  <c r="AA7" i="34"/>
  <c r="X8" i="34"/>
  <c r="Y8" i="34"/>
  <c r="Z8" i="34"/>
  <c r="AA8" i="34"/>
  <c r="X9" i="34"/>
  <c r="Y9" i="34"/>
  <c r="Z9" i="34"/>
  <c r="AA9" i="34"/>
  <c r="X10" i="34"/>
  <c r="Y10" i="34"/>
  <c r="Z10" i="34"/>
  <c r="AA10" i="34"/>
  <c r="X11" i="34"/>
  <c r="Y11" i="34"/>
  <c r="Z11" i="34"/>
  <c r="AA11" i="34"/>
  <c r="S7" i="34"/>
  <c r="T7" i="34"/>
  <c r="U7" i="34"/>
  <c r="V7" i="34"/>
  <c r="S8" i="34"/>
  <c r="T8" i="34"/>
  <c r="U8" i="34"/>
  <c r="V8" i="34"/>
  <c r="S9" i="34"/>
  <c r="T9" i="34"/>
  <c r="U9" i="34"/>
  <c r="V9" i="34"/>
  <c r="S10" i="34"/>
  <c r="T10" i="34"/>
  <c r="U10" i="34"/>
  <c r="V10" i="34"/>
  <c r="S11" i="34"/>
  <c r="T11" i="34"/>
  <c r="U11" i="34"/>
  <c r="V11" i="34"/>
  <c r="N7" i="34"/>
  <c r="O7" i="34"/>
  <c r="P7" i="34"/>
  <c r="Q7" i="34"/>
  <c r="N8" i="34"/>
  <c r="O8" i="34"/>
  <c r="P8" i="34"/>
  <c r="Q8" i="34"/>
  <c r="N9" i="34"/>
  <c r="O9" i="34"/>
  <c r="P9" i="34"/>
  <c r="Q9" i="34"/>
  <c r="N10" i="34"/>
  <c r="O10" i="34"/>
  <c r="P10" i="34"/>
  <c r="Q10" i="34"/>
  <c r="N11" i="34"/>
  <c r="O11" i="34"/>
  <c r="P11" i="34"/>
  <c r="Q11" i="34"/>
  <c r="H3" i="34"/>
  <c r="I7" i="34"/>
  <c r="J7" i="34"/>
  <c r="K7" i="34"/>
  <c r="L7" i="34"/>
  <c r="I8" i="34"/>
  <c r="J8" i="34"/>
  <c r="K8" i="34"/>
  <c r="L8" i="34"/>
  <c r="I9" i="34"/>
  <c r="J9" i="34"/>
  <c r="K9" i="34"/>
  <c r="L9" i="34"/>
  <c r="I10" i="34"/>
  <c r="J10" i="34"/>
  <c r="K10" i="34"/>
  <c r="L10" i="34"/>
  <c r="I11" i="34"/>
  <c r="J11" i="34"/>
  <c r="K11" i="34"/>
  <c r="L11" i="34"/>
  <c r="M3" i="34"/>
  <c r="R3" i="34"/>
  <c r="W3" i="34"/>
  <c r="AB3" i="34"/>
  <c r="AG3" i="34"/>
  <c r="AM3" i="34"/>
  <c r="AN3" i="34"/>
  <c r="AO3" i="34"/>
  <c r="AP3" i="34"/>
  <c r="AR3" i="34"/>
  <c r="AS3" i="34"/>
  <c r="AT3" i="34"/>
  <c r="AU3" i="34"/>
  <c r="AW3" i="34"/>
  <c r="AX3" i="34"/>
  <c r="AY3" i="34"/>
  <c r="AZ3" i="34"/>
  <c r="BB3" i="34"/>
  <c r="BC3" i="34"/>
  <c r="BD3" i="34"/>
  <c r="BE3" i="34"/>
  <c r="BF3" i="34"/>
  <c r="BG3" i="34"/>
  <c r="BH3" i="34"/>
  <c r="BI3" i="34"/>
  <c r="BJ3" i="34"/>
  <c r="BK3" i="34"/>
  <c r="BL3" i="34"/>
  <c r="BM3" i="34"/>
  <c r="BN3" i="34"/>
  <c r="BO3" i="34"/>
  <c r="BP3" i="34"/>
  <c r="BQ3" i="34"/>
  <c r="BR3" i="34"/>
  <c r="BS3" i="34"/>
  <c r="BT3" i="34"/>
  <c r="BU3" i="34"/>
  <c r="BZ3" i="34"/>
  <c r="CE3" i="34"/>
  <c r="CF3" i="34"/>
  <c r="CG3" i="34"/>
  <c r="CH3" i="34"/>
  <c r="CI3" i="34"/>
  <c r="CJ3" i="34"/>
  <c r="CK3" i="34"/>
  <c r="CL3" i="34"/>
  <c r="CM3" i="34"/>
  <c r="CN3" i="34"/>
  <c r="CP3" i="34"/>
  <c r="CQ3" i="34"/>
  <c r="CR3" i="34"/>
  <c r="CS3" i="34"/>
  <c r="CT3" i="34"/>
  <c r="CZ3" i="34"/>
  <c r="DA3" i="34"/>
  <c r="DB3" i="34"/>
  <c r="DC3" i="34"/>
  <c r="DE3" i="34"/>
  <c r="DF3" i="34"/>
  <c r="DG3" i="34"/>
  <c r="DH3" i="34"/>
  <c r="DJ3" i="34"/>
  <c r="DK3" i="34"/>
  <c r="DL3" i="34"/>
  <c r="DM3" i="34"/>
  <c r="DO3" i="34"/>
  <c r="DP3" i="34"/>
  <c r="DQ3" i="34"/>
  <c r="DR3" i="34"/>
  <c r="DS3" i="34"/>
  <c r="DY3" i="34"/>
  <c r="DZ3" i="34"/>
  <c r="EA3" i="34"/>
  <c r="EB3" i="34"/>
  <c r="G11" i="34" l="1"/>
  <c r="F11" i="34"/>
  <c r="E11" i="34"/>
  <c r="D11" i="34"/>
  <c r="G10" i="34"/>
  <c r="F10" i="34"/>
  <c r="E10" i="34"/>
  <c r="D10" i="34"/>
  <c r="G9" i="34"/>
  <c r="F9" i="34"/>
  <c r="E9" i="34"/>
  <c r="D9" i="34"/>
  <c r="G8" i="34"/>
  <c r="F8" i="34"/>
  <c r="E8" i="34"/>
  <c r="D8" i="34"/>
  <c r="G7" i="34"/>
  <c r="F7" i="34"/>
  <c r="E7" i="34"/>
  <c r="D7" i="34"/>
  <c r="G6" i="34"/>
  <c r="F6" i="34"/>
  <c r="E6" i="34"/>
  <c r="D6" i="34"/>
  <c r="G5" i="34"/>
  <c r="F5" i="34"/>
  <c r="E5" i="34"/>
  <c r="D5" i="34"/>
  <c r="C3" i="34"/>
  <c r="G11" i="14"/>
  <c r="E7" i="35"/>
  <c r="F7" i="35"/>
  <c r="G7" i="35"/>
  <c r="H7" i="35"/>
  <c r="I7" i="35"/>
  <c r="J7" i="35"/>
  <c r="J5" i="35" s="1"/>
  <c r="K7" i="35"/>
  <c r="L7" i="35"/>
  <c r="M7" i="35"/>
  <c r="N7" i="35"/>
  <c r="O7" i="35"/>
  <c r="P7" i="35"/>
  <c r="Q7" i="35"/>
  <c r="R7" i="35"/>
  <c r="S7" i="35"/>
  <c r="T7" i="35"/>
  <c r="U7" i="35"/>
  <c r="V7" i="35"/>
  <c r="W7" i="35"/>
  <c r="X7" i="35"/>
  <c r="Y7" i="35"/>
  <c r="Y5" i="35" s="1"/>
  <c r="Z7" i="35"/>
  <c r="AA7" i="35"/>
  <c r="AB7" i="35"/>
  <c r="AC7" i="35"/>
  <c r="AD7" i="35"/>
  <c r="AE7" i="35"/>
  <c r="AF7" i="35"/>
  <c r="AG7" i="35"/>
  <c r="AH7" i="35"/>
  <c r="AH5" i="35" s="1"/>
  <c r="AI7" i="35"/>
  <c r="AI5" i="35" s="1"/>
  <c r="AJ7" i="35"/>
  <c r="AJ5" i="35" s="1"/>
  <c r="AK7" i="35"/>
  <c r="AL7" i="35"/>
  <c r="AM7" i="35"/>
  <c r="AN7" i="35"/>
  <c r="AO7" i="35"/>
  <c r="AP7" i="35"/>
  <c r="AQ7" i="35"/>
  <c r="AR7" i="35"/>
  <c r="AS7" i="35"/>
  <c r="AT7" i="35"/>
  <c r="AU7" i="35"/>
  <c r="AV7" i="35"/>
  <c r="AW7" i="35"/>
  <c r="AX7" i="35"/>
  <c r="AX5" i="35" s="1"/>
  <c r="AY7" i="35"/>
  <c r="AY5" i="35" s="1"/>
  <c r="AZ7" i="35"/>
  <c r="AZ5" i="35" s="1"/>
  <c r="BA7" i="35"/>
  <c r="BB7" i="35"/>
  <c r="BC7" i="35"/>
  <c r="BD7" i="35"/>
  <c r="BE7" i="35"/>
  <c r="BF7" i="35"/>
  <c r="BF5" i="35" s="1"/>
  <c r="BG7" i="35"/>
  <c r="BG5" i="35" s="1"/>
  <c r="BH7" i="35"/>
  <c r="BH5" i="35" s="1"/>
  <c r="BI7" i="35"/>
  <c r="BJ7" i="35"/>
  <c r="BK7" i="35"/>
  <c r="E8" i="35"/>
  <c r="F8" i="35"/>
  <c r="F5" i="35" s="1"/>
  <c r="G8" i="35"/>
  <c r="H8" i="35"/>
  <c r="I8" i="35"/>
  <c r="J8" i="35"/>
  <c r="K8" i="35"/>
  <c r="L8" i="35"/>
  <c r="M8" i="35"/>
  <c r="N8" i="35"/>
  <c r="O8" i="35"/>
  <c r="P8" i="35"/>
  <c r="Q8" i="35"/>
  <c r="R8" i="35"/>
  <c r="S8" i="35"/>
  <c r="T8" i="35"/>
  <c r="U8" i="35"/>
  <c r="V8" i="35"/>
  <c r="W8" i="35"/>
  <c r="W5" i="35" s="1"/>
  <c r="X8" i="35"/>
  <c r="X5" i="35" s="1"/>
  <c r="Y8" i="35"/>
  <c r="Z8" i="35"/>
  <c r="AA8" i="35"/>
  <c r="AB8" i="35"/>
  <c r="AC8" i="35"/>
  <c r="AD8" i="35"/>
  <c r="AD5" i="35" s="1"/>
  <c r="AE8" i="35"/>
  <c r="AE5" i="35" s="1"/>
  <c r="AF8" i="35"/>
  <c r="AF5" i="35" s="1"/>
  <c r="AG8" i="35"/>
  <c r="AG5" i="35" s="1"/>
  <c r="AH8" i="35"/>
  <c r="AI8" i="35"/>
  <c r="AJ8" i="35"/>
  <c r="AK8" i="35"/>
  <c r="AL8" i="35"/>
  <c r="AM8" i="35"/>
  <c r="AN8" i="35"/>
  <c r="AO8" i="35"/>
  <c r="AP8" i="35"/>
  <c r="AQ8" i="35"/>
  <c r="AR8" i="35"/>
  <c r="AS8" i="35"/>
  <c r="AT8" i="35"/>
  <c r="AU8" i="35"/>
  <c r="AV8" i="35"/>
  <c r="AW8" i="35"/>
  <c r="AX8" i="35"/>
  <c r="AY8" i="35"/>
  <c r="AZ8" i="35"/>
  <c r="BA8" i="35"/>
  <c r="BB8" i="35"/>
  <c r="BC8" i="35"/>
  <c r="BD8" i="35"/>
  <c r="BE8" i="35"/>
  <c r="BF8" i="35"/>
  <c r="BG8" i="35"/>
  <c r="BH8" i="35"/>
  <c r="BI8" i="35"/>
  <c r="BJ8" i="35"/>
  <c r="BK8" i="35"/>
  <c r="E9" i="35"/>
  <c r="F9" i="35"/>
  <c r="G9" i="35"/>
  <c r="H9" i="35"/>
  <c r="I9" i="35"/>
  <c r="J9" i="35"/>
  <c r="K9" i="35"/>
  <c r="L9" i="35"/>
  <c r="M9" i="35"/>
  <c r="N9" i="35"/>
  <c r="O9" i="35"/>
  <c r="P9" i="35"/>
  <c r="Q9" i="35"/>
  <c r="R9" i="35"/>
  <c r="S9" i="35"/>
  <c r="T9" i="35"/>
  <c r="U9" i="35"/>
  <c r="U5" i="35" s="1"/>
  <c r="V9" i="35"/>
  <c r="W9" i="35"/>
  <c r="X9" i="35"/>
  <c r="Y9" i="35"/>
  <c r="Z9" i="35"/>
  <c r="AA9" i="35"/>
  <c r="AB9" i="35"/>
  <c r="AC9" i="35"/>
  <c r="AC5" i="35" s="1"/>
  <c r="AD9" i="35"/>
  <c r="AE9" i="35"/>
  <c r="AF9" i="35"/>
  <c r="AG9" i="35"/>
  <c r="AH9" i="35"/>
  <c r="AI9" i="35"/>
  <c r="AJ9" i="35"/>
  <c r="AK9" i="35"/>
  <c r="AK5" i="35" s="1"/>
  <c r="AL9" i="35"/>
  <c r="AM9" i="35"/>
  <c r="AN9" i="35"/>
  <c r="AO9" i="35"/>
  <c r="AP9" i="35"/>
  <c r="AQ9" i="35"/>
  <c r="AR9" i="35"/>
  <c r="AS9" i="35"/>
  <c r="AT9" i="35"/>
  <c r="AU9" i="35"/>
  <c r="AV9" i="35"/>
  <c r="AW9" i="35"/>
  <c r="AX9" i="35"/>
  <c r="AY9" i="35"/>
  <c r="AZ9" i="35"/>
  <c r="BA9" i="35"/>
  <c r="BA5" i="35" s="1"/>
  <c r="BB9" i="35"/>
  <c r="BB5" i="35" s="1"/>
  <c r="BC9" i="35"/>
  <c r="BD9" i="35"/>
  <c r="BE9" i="35"/>
  <c r="BF9" i="35"/>
  <c r="BG9" i="35"/>
  <c r="BH9" i="35"/>
  <c r="BI9" i="35"/>
  <c r="BI5" i="35" s="1"/>
  <c r="BJ9" i="35"/>
  <c r="BJ5" i="35" s="1"/>
  <c r="BK9" i="35"/>
  <c r="E10" i="35"/>
  <c r="F10" i="35"/>
  <c r="G10" i="35"/>
  <c r="H10" i="35"/>
  <c r="I10" i="35"/>
  <c r="J10" i="35"/>
  <c r="K10" i="35"/>
  <c r="L10" i="35"/>
  <c r="M10" i="35"/>
  <c r="N10" i="35"/>
  <c r="O10" i="35"/>
  <c r="P10" i="35"/>
  <c r="Q10" i="35"/>
  <c r="R10" i="35"/>
  <c r="S10" i="35"/>
  <c r="T10" i="35"/>
  <c r="U10" i="35"/>
  <c r="V10" i="35"/>
  <c r="W10" i="35"/>
  <c r="X10" i="35"/>
  <c r="Y10" i="35"/>
  <c r="Z10" i="35"/>
  <c r="AA10" i="35"/>
  <c r="AB10" i="35"/>
  <c r="AC10" i="35"/>
  <c r="AD10" i="35"/>
  <c r="AE10" i="35"/>
  <c r="AF10" i="35"/>
  <c r="AG10" i="35"/>
  <c r="AH10" i="35"/>
  <c r="AI10" i="35"/>
  <c r="AJ10" i="35"/>
  <c r="AK10" i="35"/>
  <c r="AL10" i="35"/>
  <c r="AM10" i="35"/>
  <c r="AN10" i="35"/>
  <c r="AO10" i="35"/>
  <c r="AP10" i="35"/>
  <c r="AQ10" i="35"/>
  <c r="AR10" i="35"/>
  <c r="AS10" i="35"/>
  <c r="AT10" i="35"/>
  <c r="AU10" i="35"/>
  <c r="AV10" i="35"/>
  <c r="AW10" i="35"/>
  <c r="AX10" i="35"/>
  <c r="AY10" i="35"/>
  <c r="AZ10" i="35"/>
  <c r="BA10" i="35"/>
  <c r="BB10" i="35"/>
  <c r="BC10" i="35"/>
  <c r="BD10" i="35"/>
  <c r="BE10" i="35"/>
  <c r="BF10" i="35"/>
  <c r="BG10" i="35"/>
  <c r="BH10" i="35"/>
  <c r="BI10" i="35"/>
  <c r="BJ10" i="35"/>
  <c r="BK10" i="35"/>
  <c r="E11" i="35"/>
  <c r="F11" i="35"/>
  <c r="G11" i="35"/>
  <c r="G5" i="35" s="1"/>
  <c r="H11" i="35"/>
  <c r="I11" i="35"/>
  <c r="J11" i="35"/>
  <c r="K11" i="35"/>
  <c r="L11" i="35"/>
  <c r="M11" i="35"/>
  <c r="N11" i="35"/>
  <c r="O11" i="35"/>
  <c r="P11" i="35"/>
  <c r="Q11" i="35"/>
  <c r="R11" i="35"/>
  <c r="S11" i="35"/>
  <c r="T11" i="35"/>
  <c r="U11" i="35"/>
  <c r="V11" i="35"/>
  <c r="W11" i="35"/>
  <c r="X11" i="35"/>
  <c r="Y11" i="35"/>
  <c r="Z11" i="35"/>
  <c r="AA11" i="35"/>
  <c r="AB11" i="35"/>
  <c r="AC11" i="35"/>
  <c r="AD11" i="35"/>
  <c r="AE11" i="35"/>
  <c r="AF11" i="35"/>
  <c r="AG11" i="35"/>
  <c r="AH11" i="35"/>
  <c r="AI11" i="35"/>
  <c r="AJ11" i="35"/>
  <c r="AK11" i="35"/>
  <c r="AL11" i="35"/>
  <c r="AM11" i="35"/>
  <c r="AM5" i="35" s="1"/>
  <c r="AN11" i="35"/>
  <c r="AO11" i="35"/>
  <c r="AP11" i="35"/>
  <c r="AQ11" i="35"/>
  <c r="AR11" i="35"/>
  <c r="AS11" i="35"/>
  <c r="AT11" i="35"/>
  <c r="AU11" i="35"/>
  <c r="AV11" i="35"/>
  <c r="AW11" i="35"/>
  <c r="AX11" i="35"/>
  <c r="AY11" i="35"/>
  <c r="AZ11" i="35"/>
  <c r="BA11" i="35"/>
  <c r="BB11" i="35"/>
  <c r="BC11" i="35"/>
  <c r="BC5" i="35" s="1"/>
  <c r="BD11" i="35"/>
  <c r="BE11" i="35"/>
  <c r="BF11" i="35"/>
  <c r="BG11" i="35"/>
  <c r="BH11" i="35"/>
  <c r="BI11" i="35"/>
  <c r="BJ11" i="35"/>
  <c r="BK11" i="35"/>
  <c r="BK5" i="35" s="1"/>
  <c r="E12" i="35"/>
  <c r="F12" i="35"/>
  <c r="G12" i="35"/>
  <c r="H12" i="35"/>
  <c r="I12" i="35"/>
  <c r="J12" i="35"/>
  <c r="K12" i="35"/>
  <c r="L12" i="35"/>
  <c r="M12" i="35"/>
  <c r="N12" i="35"/>
  <c r="O12" i="35"/>
  <c r="P12" i="35"/>
  <c r="Q12" i="35"/>
  <c r="R12" i="35"/>
  <c r="S12" i="35"/>
  <c r="T12" i="35"/>
  <c r="U12" i="35"/>
  <c r="V12" i="35"/>
  <c r="W12" i="35"/>
  <c r="X12" i="35"/>
  <c r="Y12" i="35"/>
  <c r="Z12" i="35"/>
  <c r="AA12" i="35"/>
  <c r="AB12" i="35"/>
  <c r="AB5" i="35" s="1"/>
  <c r="AC12" i="35"/>
  <c r="AD12" i="35"/>
  <c r="AE12" i="35"/>
  <c r="AF12" i="35"/>
  <c r="AG12" i="35"/>
  <c r="AH12" i="35"/>
  <c r="AI12" i="35"/>
  <c r="AJ12" i="35"/>
  <c r="AK12" i="35"/>
  <c r="AL12" i="35"/>
  <c r="AM12" i="35"/>
  <c r="AN12" i="35"/>
  <c r="AO12" i="35"/>
  <c r="AP12" i="35"/>
  <c r="AQ12" i="35"/>
  <c r="AR12" i="35"/>
  <c r="AS12" i="35"/>
  <c r="AT12" i="35"/>
  <c r="AU12" i="35"/>
  <c r="AV12" i="35"/>
  <c r="AW12" i="35"/>
  <c r="AX12" i="35"/>
  <c r="AY12" i="35"/>
  <c r="AZ12" i="35"/>
  <c r="BA12" i="35"/>
  <c r="BB12" i="35"/>
  <c r="BC12" i="35"/>
  <c r="BD12" i="35"/>
  <c r="BE12" i="35"/>
  <c r="BF12" i="35"/>
  <c r="BG12" i="35"/>
  <c r="BH12" i="35"/>
  <c r="BI12" i="35"/>
  <c r="BJ12" i="35"/>
  <c r="BK12" i="35"/>
  <c r="E13" i="35"/>
  <c r="F13" i="35"/>
  <c r="G13" i="35"/>
  <c r="H13" i="35"/>
  <c r="I13" i="35"/>
  <c r="J13" i="35"/>
  <c r="K13" i="35"/>
  <c r="L13" i="35"/>
  <c r="M13" i="35"/>
  <c r="N13" i="35"/>
  <c r="O13" i="35"/>
  <c r="P13" i="35"/>
  <c r="Q13" i="35"/>
  <c r="R13" i="35"/>
  <c r="S13" i="35"/>
  <c r="T13" i="35"/>
  <c r="U13" i="35"/>
  <c r="V13" i="35"/>
  <c r="W13" i="35"/>
  <c r="X13" i="35"/>
  <c r="Y13" i="35"/>
  <c r="Z13" i="35"/>
  <c r="AA13" i="35"/>
  <c r="AB13" i="35"/>
  <c r="AC13" i="35"/>
  <c r="AD13" i="35"/>
  <c r="AE13" i="35"/>
  <c r="AF13" i="35"/>
  <c r="AG13" i="35"/>
  <c r="AH13" i="35"/>
  <c r="AI13" i="35"/>
  <c r="AJ13" i="35"/>
  <c r="AK13" i="35"/>
  <c r="AL13" i="35"/>
  <c r="AM13" i="35"/>
  <c r="AN13" i="35"/>
  <c r="AO13" i="35"/>
  <c r="AO5" i="35" s="1"/>
  <c r="AP13" i="35"/>
  <c r="AQ13" i="35"/>
  <c r="AR13" i="35"/>
  <c r="AS13" i="35"/>
  <c r="AT13" i="35"/>
  <c r="AU13" i="35"/>
  <c r="AV13" i="35"/>
  <c r="AW13" i="35"/>
  <c r="AW5" i="35" s="1"/>
  <c r="AX13" i="35"/>
  <c r="AY13" i="35"/>
  <c r="AZ13" i="35"/>
  <c r="BA13" i="35"/>
  <c r="BB13" i="35"/>
  <c r="BC13" i="35"/>
  <c r="BD13" i="35"/>
  <c r="BE13" i="35"/>
  <c r="BE5" i="35" s="1"/>
  <c r="BF13" i="35"/>
  <c r="BG13" i="35"/>
  <c r="BH13" i="35"/>
  <c r="BI13" i="35"/>
  <c r="BJ13" i="35"/>
  <c r="BK13" i="35"/>
  <c r="E6" i="35"/>
  <c r="F6" i="35"/>
  <c r="G6" i="35"/>
  <c r="H6" i="35"/>
  <c r="I6" i="35"/>
  <c r="I5" i="35" s="1"/>
  <c r="J6" i="35"/>
  <c r="K6" i="35"/>
  <c r="L6" i="35"/>
  <c r="M6" i="35"/>
  <c r="N6" i="35"/>
  <c r="O6" i="35"/>
  <c r="P6" i="35"/>
  <c r="Q6" i="35"/>
  <c r="R6" i="35"/>
  <c r="S6" i="35"/>
  <c r="T6" i="35"/>
  <c r="U6" i="35"/>
  <c r="V6" i="35"/>
  <c r="W6" i="35"/>
  <c r="X6" i="35"/>
  <c r="Y6" i="35"/>
  <c r="Z6" i="35"/>
  <c r="AA6" i="35"/>
  <c r="AB6" i="35"/>
  <c r="AC6" i="35"/>
  <c r="AD6" i="35"/>
  <c r="AE6" i="35"/>
  <c r="AF6" i="35"/>
  <c r="AG6" i="35"/>
  <c r="V5" i="35"/>
  <c r="D7" i="35"/>
  <c r="D5" i="35" s="1"/>
  <c r="D8" i="35"/>
  <c r="D9" i="35"/>
  <c r="D10" i="35"/>
  <c r="D11" i="35"/>
  <c r="D12" i="35"/>
  <c r="D13" i="35"/>
  <c r="T5" i="35"/>
  <c r="AN5" i="35"/>
  <c r="AV5" i="35"/>
  <c r="BD5" i="35"/>
  <c r="AH6" i="35"/>
  <c r="AI6" i="35"/>
  <c r="AJ6" i="35"/>
  <c r="AK6" i="35"/>
  <c r="AL6" i="35"/>
  <c r="AM6" i="35"/>
  <c r="AN6" i="35"/>
  <c r="AO6" i="35"/>
  <c r="AP6" i="35"/>
  <c r="AQ6" i="35"/>
  <c r="AR6" i="35"/>
  <c r="AS6" i="35"/>
  <c r="AT6" i="35"/>
  <c r="AU6" i="35"/>
  <c r="AV6" i="35"/>
  <c r="AW6" i="35"/>
  <c r="AX6" i="35"/>
  <c r="AY6" i="35"/>
  <c r="AZ6" i="35"/>
  <c r="BA6" i="35"/>
  <c r="BB6" i="35"/>
  <c r="BC6" i="35"/>
  <c r="BD6" i="35"/>
  <c r="BE6" i="35"/>
  <c r="BF6" i="35"/>
  <c r="BG6" i="35"/>
  <c r="BH6" i="35"/>
  <c r="BI6" i="35"/>
  <c r="BJ6" i="35"/>
  <c r="BK6" i="35"/>
  <c r="CJ5" i="35"/>
  <c r="CK5" i="35"/>
  <c r="CL5" i="35"/>
  <c r="CM5" i="35"/>
  <c r="CN5" i="35"/>
  <c r="CO5" i="35"/>
  <c r="CP5" i="35"/>
  <c r="CQ5" i="35"/>
  <c r="CR5" i="35"/>
  <c r="CS5" i="35"/>
  <c r="CT5" i="35"/>
  <c r="CU5" i="35"/>
  <c r="CV5" i="35"/>
  <c r="CW5" i="35"/>
  <c r="CX5" i="35"/>
  <c r="CY5" i="35"/>
  <c r="CZ5" i="35"/>
  <c r="DA5" i="35"/>
  <c r="DB5" i="35"/>
  <c r="DC5" i="35"/>
  <c r="DD5" i="35"/>
  <c r="DE5" i="35"/>
  <c r="DF5" i="35"/>
  <c r="DG5" i="35"/>
  <c r="DH5" i="35"/>
  <c r="DI5" i="35"/>
  <c r="DJ5" i="35"/>
  <c r="DK5" i="35"/>
  <c r="DL5" i="35"/>
  <c r="DM5" i="35"/>
  <c r="DN5" i="35"/>
  <c r="DO5" i="35"/>
  <c r="DP5" i="35"/>
  <c r="DQ5" i="35"/>
  <c r="DR5" i="35"/>
  <c r="DS5" i="35"/>
  <c r="DT5" i="35"/>
  <c r="DU5" i="35"/>
  <c r="DV5" i="35"/>
  <c r="DW5" i="35"/>
  <c r="DX5" i="35"/>
  <c r="DY5" i="35"/>
  <c r="DZ5" i="35"/>
  <c r="EA5" i="35"/>
  <c r="EB5" i="35"/>
  <c r="EC5" i="35"/>
  <c r="ED5" i="35"/>
  <c r="EE5" i="35"/>
  <c r="EF5" i="35"/>
  <c r="EG5" i="35"/>
  <c r="EH5" i="35"/>
  <c r="EI5" i="35"/>
  <c r="EJ5" i="35"/>
  <c r="EK5" i="35"/>
  <c r="EL5" i="35"/>
  <c r="EM5" i="35"/>
  <c r="EN5" i="35"/>
  <c r="EO5" i="35"/>
  <c r="EP5" i="35"/>
  <c r="EQ5" i="35"/>
  <c r="ER5" i="35"/>
  <c r="ES5" i="35"/>
  <c r="ET5" i="35"/>
  <c r="EU5" i="35"/>
  <c r="EV5" i="35"/>
  <c r="EW5" i="35"/>
  <c r="EX5" i="35"/>
  <c r="EY5" i="35"/>
  <c r="EZ5" i="35"/>
  <c r="FA5" i="35"/>
  <c r="FB5" i="35"/>
  <c r="FC5" i="35"/>
  <c r="FD5" i="35"/>
  <c r="FE5" i="35"/>
  <c r="FF5" i="35"/>
  <c r="FG5" i="35"/>
  <c r="FH5" i="35"/>
  <c r="FI5" i="35"/>
  <c r="FJ5" i="35"/>
  <c r="FK5" i="35"/>
  <c r="FL5" i="35"/>
  <c r="FM5" i="35"/>
  <c r="FN5" i="35"/>
  <c r="FO5" i="35"/>
  <c r="FP5" i="35"/>
  <c r="FQ5" i="35"/>
  <c r="FR5" i="35"/>
  <c r="FS5" i="35"/>
  <c r="FT5" i="35"/>
  <c r="FU5" i="35"/>
  <c r="FV5" i="35"/>
  <c r="FW5" i="35"/>
  <c r="FX5" i="35"/>
  <c r="FY5" i="35"/>
  <c r="FZ5" i="35"/>
  <c r="GA5" i="35"/>
  <c r="GB5" i="35"/>
  <c r="GC5" i="35"/>
  <c r="GD5" i="35"/>
  <c r="GE5" i="35"/>
  <c r="GF5" i="35"/>
  <c r="GG5" i="35"/>
  <c r="GH5" i="35"/>
  <c r="GI5" i="35"/>
  <c r="GJ5" i="35"/>
  <c r="GK5" i="35"/>
  <c r="GL5" i="35"/>
  <c r="GM5" i="35"/>
  <c r="GN5" i="35"/>
  <c r="GO5" i="35"/>
  <c r="GP5" i="35"/>
  <c r="GQ5" i="35"/>
  <c r="GR5" i="35"/>
  <c r="GS5" i="35"/>
  <c r="GT5" i="35"/>
  <c r="GU5" i="35"/>
  <c r="GV5" i="35"/>
  <c r="GW5" i="35"/>
  <c r="GX5" i="35"/>
  <c r="GY5" i="35"/>
  <c r="GZ5" i="35"/>
  <c r="HA5" i="35"/>
  <c r="HB5" i="35"/>
  <c r="HC5" i="35"/>
  <c r="HD5" i="35"/>
  <c r="HE5" i="35"/>
  <c r="HF5" i="35"/>
  <c r="HG5" i="35"/>
  <c r="HH5" i="35"/>
  <c r="HI5" i="35"/>
  <c r="HJ5" i="35"/>
  <c r="HK5" i="35"/>
  <c r="HL5" i="35"/>
  <c r="HM5" i="35"/>
  <c r="HN5" i="35"/>
  <c r="HO5" i="35"/>
  <c r="HP5" i="35"/>
  <c r="HQ5" i="35"/>
  <c r="HR5" i="35"/>
  <c r="HS5" i="35"/>
  <c r="HT5" i="35"/>
  <c r="HU5" i="35"/>
  <c r="HV5" i="35"/>
  <c r="HW5" i="35"/>
  <c r="HX5" i="35"/>
  <c r="HY5" i="35"/>
  <c r="HZ5" i="35"/>
  <c r="IA5" i="35"/>
  <c r="IB5" i="35"/>
  <c r="IC5" i="35"/>
  <c r="ID5" i="35"/>
  <c r="IE5" i="35"/>
  <c r="IF5" i="35"/>
  <c r="IG5" i="35"/>
  <c r="IH5" i="35"/>
  <c r="II5" i="35"/>
  <c r="CI5" i="35"/>
  <c r="BL5" i="35"/>
  <c r="BM5" i="35"/>
  <c r="BN5" i="35"/>
  <c r="BO5" i="35"/>
  <c r="BP5" i="35"/>
  <c r="BQ5" i="35"/>
  <c r="BR5" i="35"/>
  <c r="BS5" i="35"/>
  <c r="BT5" i="35"/>
  <c r="BU5" i="35"/>
  <c r="BV5" i="35"/>
  <c r="BW5" i="35"/>
  <c r="BX5" i="35"/>
  <c r="BY5" i="35"/>
  <c r="BZ5" i="35"/>
  <c r="CA5" i="35"/>
  <c r="CB5" i="35"/>
  <c r="CC5" i="35"/>
  <c r="CE5" i="35"/>
  <c r="CF5" i="35"/>
  <c r="CG5" i="35"/>
  <c r="CH5" i="35"/>
  <c r="CD5" i="35"/>
  <c r="D6" i="35"/>
  <c r="D4" i="34"/>
  <c r="AS5" i="35" l="1"/>
  <c r="O5" i="35"/>
  <c r="AU5" i="35"/>
  <c r="Q5" i="35"/>
  <c r="AT5" i="35"/>
  <c r="P5" i="35"/>
  <c r="AR5" i="35"/>
  <c r="N5" i="35"/>
  <c r="AQ5" i="35"/>
  <c r="M5" i="35"/>
  <c r="AP5" i="35"/>
  <c r="L5" i="35"/>
  <c r="AL5" i="35"/>
  <c r="H5" i="35"/>
  <c r="D3" i="34"/>
  <c r="AA5" i="35"/>
  <c r="S5" i="35"/>
  <c r="K5" i="35"/>
  <c r="Z5" i="35"/>
  <c r="R5" i="35"/>
  <c r="E5" i="35"/>
  <c r="E3" i="36" l="1"/>
  <c r="F3" i="36"/>
  <c r="G3" i="36"/>
  <c r="I3" i="36"/>
  <c r="J3" i="36"/>
  <c r="K3" i="36"/>
  <c r="L3" i="36"/>
  <c r="N3" i="36"/>
  <c r="O3" i="36"/>
  <c r="P3" i="36"/>
  <c r="Q3" i="36"/>
  <c r="S3" i="36"/>
  <c r="AE3" i="36" s="1"/>
  <c r="T3" i="36"/>
  <c r="U3" i="36"/>
  <c r="V3" i="36"/>
  <c r="AH3" i="36" s="1"/>
  <c r="X3" i="36"/>
  <c r="D3" i="36"/>
  <c r="AE4" i="36"/>
  <c r="AF4" i="36"/>
  <c r="AG4" i="36"/>
  <c r="AH4" i="36"/>
  <c r="AE5" i="36"/>
  <c r="AF5" i="36"/>
  <c r="AG5" i="36"/>
  <c r="AH5" i="36"/>
  <c r="AE6" i="36"/>
  <c r="AF6" i="36"/>
  <c r="AG6" i="36"/>
  <c r="AH6" i="36"/>
  <c r="Y4" i="36"/>
  <c r="AD4" i="36" s="1"/>
  <c r="Z4" i="36"/>
  <c r="AA4" i="36"/>
  <c r="AB4" i="36"/>
  <c r="Y5" i="36"/>
  <c r="AD5" i="36" s="1"/>
  <c r="Z5" i="36"/>
  <c r="AA5" i="36"/>
  <c r="AB5" i="36"/>
  <c r="Y6" i="36"/>
  <c r="AD6" i="36" s="1"/>
  <c r="Z6" i="36"/>
  <c r="AA6" i="36"/>
  <c r="AB6" i="36"/>
  <c r="M35" i="14"/>
  <c r="M34" i="14"/>
  <c r="M33" i="14"/>
  <c r="M30" i="14"/>
  <c r="M29" i="14"/>
  <c r="M23" i="14"/>
  <c r="M22" i="14"/>
  <c r="M21" i="14"/>
  <c r="M20" i="14"/>
  <c r="M12" i="14"/>
  <c r="M10" i="14"/>
  <c r="H14" i="14"/>
  <c r="G14" i="14"/>
  <c r="L35" i="14"/>
  <c r="L34" i="14"/>
  <c r="L33" i="14"/>
  <c r="L30" i="14"/>
  <c r="L29" i="14"/>
  <c r="L23" i="14"/>
  <c r="L22" i="14"/>
  <c r="L21" i="14"/>
  <c r="L20" i="14"/>
  <c r="L12" i="14"/>
  <c r="L10" i="14"/>
  <c r="DT4" i="34"/>
  <c r="DU4" i="34"/>
  <c r="DV4" i="34"/>
  <c r="DV3" i="34" s="1"/>
  <c r="DW4" i="34"/>
  <c r="DT5" i="34"/>
  <c r="DU5" i="34"/>
  <c r="DV5" i="34"/>
  <c r="L37" i="14" s="1"/>
  <c r="DW5" i="34"/>
  <c r="M37" i="14" s="1"/>
  <c r="DT6" i="34"/>
  <c r="DU6" i="34"/>
  <c r="DV6" i="34"/>
  <c r="DW6" i="34"/>
  <c r="DU3" i="34" l="1"/>
  <c r="M36" i="14" s="1"/>
  <c r="DT3" i="34"/>
  <c r="L36" i="14" s="1"/>
  <c r="DW3" i="34"/>
  <c r="Y3" i="36"/>
  <c r="AD3" i="36" s="1"/>
  <c r="AB3" i="36"/>
  <c r="AA3" i="36"/>
  <c r="Z3" i="36"/>
  <c r="AF3" i="36"/>
  <c r="AG3" i="36"/>
  <c r="G69" i="31"/>
  <c r="W4" i="36"/>
  <c r="W5" i="36"/>
  <c r="W6" i="36"/>
  <c r="R4" i="36"/>
  <c r="R5" i="36"/>
  <c r="AC5" i="36" s="1"/>
  <c r="R6" i="36"/>
  <c r="AC6" i="36" s="1"/>
  <c r="M4" i="36"/>
  <c r="M5" i="36"/>
  <c r="M6" i="36"/>
  <c r="H4" i="36"/>
  <c r="H5" i="36"/>
  <c r="H6" i="36"/>
  <c r="C3" i="18"/>
  <c r="A3" i="18"/>
  <c r="A3" i="19" s="1"/>
  <c r="E54" i="18"/>
  <c r="D54" i="18"/>
  <c r="C54" i="18"/>
  <c r="E43" i="18"/>
  <c r="D43" i="18"/>
  <c r="C43" i="18"/>
  <c r="AI5" i="36" l="1"/>
  <c r="AI6" i="36"/>
  <c r="W3" i="36"/>
  <c r="AI4" i="36"/>
  <c r="AC4" i="36"/>
  <c r="R3" i="36"/>
  <c r="AC3" i="36" s="1"/>
  <c r="M3" i="36"/>
  <c r="H3" i="36"/>
  <c r="BA4" i="34"/>
  <c r="BA5" i="34"/>
  <c r="BA3" i="34" l="1"/>
  <c r="AI3" i="36"/>
  <c r="DX6" i="34"/>
  <c r="DX5" i="34"/>
  <c r="DX4" i="34"/>
  <c r="DX3" i="34" s="1"/>
  <c r="DN6" i="34"/>
  <c r="DN5" i="34"/>
  <c r="DN4" i="34"/>
  <c r="CU4" i="34"/>
  <c r="CV4" i="34"/>
  <c r="CW4" i="34"/>
  <c r="CX4" i="34"/>
  <c r="CU5" i="34"/>
  <c r="CV5" i="34"/>
  <c r="CW5" i="34"/>
  <c r="L32" i="14" s="1"/>
  <c r="CX5" i="34"/>
  <c r="M32" i="14" s="1"/>
  <c r="CU6" i="34"/>
  <c r="CV6" i="34"/>
  <c r="CW6" i="34"/>
  <c r="CX6" i="34"/>
  <c r="DN3" i="34" l="1"/>
  <c r="CW3" i="34"/>
  <c r="CV3" i="34"/>
  <c r="M31" i="14" s="1"/>
  <c r="CX3" i="34"/>
  <c r="CU3" i="34"/>
  <c r="L31" i="14" s="1"/>
  <c r="DI6" i="34"/>
  <c r="DI5" i="34"/>
  <c r="DI4" i="34"/>
  <c r="DD6" i="34"/>
  <c r="DD5" i="34"/>
  <c r="DD4" i="34"/>
  <c r="CY6" i="34"/>
  <c r="CY5" i="34"/>
  <c r="CY4" i="34"/>
  <c r="CO4" i="34"/>
  <c r="CO5" i="34"/>
  <c r="CO6" i="34"/>
  <c r="CD6" i="34"/>
  <c r="CC6" i="34"/>
  <c r="CB6" i="34"/>
  <c r="CA6" i="34"/>
  <c r="BY6" i="34"/>
  <c r="BX6" i="34"/>
  <c r="BW6" i="34"/>
  <c r="BV6" i="34"/>
  <c r="CD5" i="34"/>
  <c r="M26" i="14" s="1"/>
  <c r="CC5" i="34"/>
  <c r="CB5" i="34"/>
  <c r="CA5" i="34"/>
  <c r="BY5" i="34"/>
  <c r="BX5" i="34"/>
  <c r="BW5" i="34"/>
  <c r="M24" i="14" s="1"/>
  <c r="BV5" i="34"/>
  <c r="CD4" i="34"/>
  <c r="CD3" i="34" s="1"/>
  <c r="CC4" i="34"/>
  <c r="CC3" i="34" s="1"/>
  <c r="CB4" i="34"/>
  <c r="CB3" i="34" s="1"/>
  <c r="CA4" i="34"/>
  <c r="BY4" i="34"/>
  <c r="BY3" i="34" s="1"/>
  <c r="BX4" i="34"/>
  <c r="BX3" i="34" s="1"/>
  <c r="BW4" i="34"/>
  <c r="BW3" i="34" s="1"/>
  <c r="BV4" i="34"/>
  <c r="BV3" i="34" s="1"/>
  <c r="AV6" i="34"/>
  <c r="AV5" i="34"/>
  <c r="AV4" i="34"/>
  <c r="AQ4" i="34"/>
  <c r="AQ5" i="34"/>
  <c r="AQ6" i="34"/>
  <c r="F8" i="18"/>
  <c r="F7" i="18"/>
  <c r="DI3" i="34" l="1"/>
  <c r="CA3" i="34"/>
  <c r="L24" i="14"/>
  <c r="CO3" i="34"/>
  <c r="CY3" i="34"/>
  <c r="AV3" i="34"/>
  <c r="DD3" i="34"/>
  <c r="AQ3" i="34"/>
  <c r="M25" i="14"/>
  <c r="L26" i="14"/>
  <c r="L25" i="14"/>
  <c r="AL4" i="34"/>
  <c r="AL5" i="34"/>
  <c r="X4" i="34"/>
  <c r="Y4" i="34"/>
  <c r="Z4" i="34"/>
  <c r="AA4" i="34"/>
  <c r="X5" i="34"/>
  <c r="Y5" i="34"/>
  <c r="Z5" i="34"/>
  <c r="AA5" i="34"/>
  <c r="X6" i="34"/>
  <c r="Y6" i="34"/>
  <c r="Z6" i="34"/>
  <c r="AA6" i="34"/>
  <c r="AC4" i="34"/>
  <c r="AD4" i="34"/>
  <c r="AE4" i="34"/>
  <c r="AF4" i="34"/>
  <c r="AC5" i="34"/>
  <c r="AD5" i="34"/>
  <c r="AE5" i="34"/>
  <c r="AF5" i="34"/>
  <c r="AC6" i="34"/>
  <c r="AD6" i="34"/>
  <c r="AE6" i="34"/>
  <c r="AF6" i="34"/>
  <c r="N4" i="34"/>
  <c r="O4" i="34"/>
  <c r="P4" i="34"/>
  <c r="Q4" i="34"/>
  <c r="N5" i="34"/>
  <c r="O5" i="34"/>
  <c r="P5" i="34"/>
  <c r="Q5" i="34"/>
  <c r="N6" i="34"/>
  <c r="O6" i="34"/>
  <c r="P6" i="34"/>
  <c r="Q6" i="34"/>
  <c r="AH4" i="34"/>
  <c r="AI4" i="34"/>
  <c r="AJ4" i="34"/>
  <c r="AK4" i="34"/>
  <c r="AH5" i="34"/>
  <c r="AI5" i="34"/>
  <c r="AJ5" i="34"/>
  <c r="AK5" i="34"/>
  <c r="AH6" i="34"/>
  <c r="AI6" i="34"/>
  <c r="AJ6" i="34"/>
  <c r="AK6" i="34"/>
  <c r="S4" i="34"/>
  <c r="T4" i="34"/>
  <c r="U4" i="34"/>
  <c r="V4" i="34"/>
  <c r="S5" i="34"/>
  <c r="T5" i="34"/>
  <c r="U5" i="34"/>
  <c r="V5" i="34"/>
  <c r="S6" i="34"/>
  <c r="T6" i="34"/>
  <c r="U6" i="34"/>
  <c r="V6" i="34"/>
  <c r="I4" i="34"/>
  <c r="J4" i="34"/>
  <c r="K4" i="34"/>
  <c r="L4" i="34"/>
  <c r="I5" i="34"/>
  <c r="J5" i="34"/>
  <c r="K5" i="34"/>
  <c r="L5" i="34"/>
  <c r="I6" i="34"/>
  <c r="J6" i="34"/>
  <c r="K6" i="34"/>
  <c r="L6" i="34"/>
  <c r="E4" i="34"/>
  <c r="E3" i="34" s="1"/>
  <c r="F4" i="34"/>
  <c r="F3" i="34" s="1"/>
  <c r="G4" i="34"/>
  <c r="G3" i="34" s="1"/>
  <c r="O3" i="34" l="1"/>
  <c r="N3" i="34"/>
  <c r="X3" i="34"/>
  <c r="L28" i="14"/>
  <c r="L3" i="34"/>
  <c r="L13" i="14"/>
  <c r="AE3" i="34"/>
  <c r="AL3" i="34"/>
  <c r="AK3" i="34"/>
  <c r="AJ3" i="34"/>
  <c r="AI3" i="34"/>
  <c r="M15" i="14" s="1"/>
  <c r="AH3" i="34"/>
  <c r="L15" i="14" s="1"/>
  <c r="AF3" i="34"/>
  <c r="AD3" i="34"/>
  <c r="AC3" i="34"/>
  <c r="L27" i="14" s="1"/>
  <c r="K3" i="34"/>
  <c r="J3" i="34"/>
  <c r="I3" i="34"/>
  <c r="Y3" i="34"/>
  <c r="AA3" i="34"/>
  <c r="M13" i="14"/>
  <c r="Z3" i="34"/>
  <c r="V3" i="34"/>
  <c r="U3" i="34"/>
  <c r="T3" i="34"/>
  <c r="S3" i="34"/>
  <c r="M28" i="14"/>
  <c r="Q3" i="34"/>
  <c r="P3" i="34"/>
  <c r="M27" i="14"/>
  <c r="L9" i="14"/>
  <c r="L8" i="14"/>
  <c r="M9" i="14"/>
  <c r="M8" i="14"/>
  <c r="L18" i="14"/>
  <c r="M18" i="14"/>
  <c r="L11" i="14"/>
  <c r="P11" i="14" s="1"/>
  <c r="L19" i="14"/>
  <c r="L17" i="14"/>
  <c r="L16" i="14"/>
  <c r="L14" i="14"/>
  <c r="M16" i="14"/>
  <c r="M14" i="14"/>
  <c r="M11" i="14"/>
  <c r="M17" i="14"/>
  <c r="M19" i="14"/>
  <c r="AK7" i="14" a="1"/>
  <c r="AK7" i="14" s="1"/>
  <c r="AI7" i="14" a="1"/>
  <c r="AI7" i="14" s="1"/>
  <c r="H8" i="14"/>
  <c r="H9" i="14"/>
  <c r="H10" i="14"/>
  <c r="H11" i="14"/>
  <c r="H12" i="14"/>
  <c r="H13" i="14"/>
  <c r="H15" i="14"/>
  <c r="H16" i="14"/>
  <c r="H17" i="14"/>
  <c r="H18" i="14"/>
  <c r="H19" i="14"/>
  <c r="H20" i="14"/>
  <c r="H21" i="14"/>
  <c r="H22" i="14"/>
  <c r="H23" i="14"/>
  <c r="H24" i="14"/>
  <c r="H25" i="14"/>
  <c r="H26" i="14"/>
  <c r="H27" i="14"/>
  <c r="H28" i="14"/>
  <c r="H29" i="14"/>
  <c r="H30" i="14"/>
  <c r="H31" i="14"/>
  <c r="H32" i="14"/>
  <c r="H33" i="14"/>
  <c r="H34" i="14"/>
  <c r="H35" i="14"/>
  <c r="H36" i="14"/>
  <c r="H37" i="14"/>
  <c r="G30" i="14"/>
  <c r="G31" i="14"/>
  <c r="G32" i="14"/>
  <c r="G33" i="14"/>
  <c r="G34" i="14"/>
  <c r="G35" i="14"/>
  <c r="G36" i="14"/>
  <c r="G37" i="14"/>
  <c r="G24" i="14"/>
  <c r="G25" i="14"/>
  <c r="G26" i="14"/>
  <c r="G27" i="14"/>
  <c r="G28" i="14"/>
  <c r="G29" i="14"/>
  <c r="G18" i="14"/>
  <c r="G19" i="14"/>
  <c r="G20" i="14"/>
  <c r="G21" i="14"/>
  <c r="G22" i="14"/>
  <c r="G23" i="14"/>
  <c r="G16" i="14"/>
  <c r="G17" i="14"/>
  <c r="G12" i="14"/>
  <c r="G13" i="14"/>
  <c r="G15" i="14"/>
  <c r="G8" i="14"/>
  <c r="G10" i="14"/>
  <c r="G9" i="14"/>
  <c r="D7" i="19"/>
  <c r="E7" i="19"/>
  <c r="D8" i="19"/>
  <c r="E8" i="19"/>
  <c r="D9" i="19"/>
  <c r="E9" i="19"/>
  <c r="D10" i="19"/>
  <c r="E10" i="19"/>
  <c r="D11" i="19"/>
  <c r="E11" i="19"/>
  <c r="D12" i="19"/>
  <c r="E12" i="19"/>
  <c r="D13" i="19"/>
  <c r="E13" i="19"/>
  <c r="D14" i="19"/>
  <c r="E14" i="19"/>
  <c r="D15" i="19"/>
  <c r="E15" i="19"/>
  <c r="D16" i="19"/>
  <c r="E16" i="19"/>
  <c r="D17" i="19"/>
  <c r="E17" i="19"/>
  <c r="D18" i="19"/>
  <c r="E18" i="19"/>
  <c r="D19" i="19"/>
  <c r="E19" i="19"/>
  <c r="D20" i="19"/>
  <c r="E20" i="19"/>
  <c r="D21" i="19"/>
  <c r="E21" i="19"/>
  <c r="D22" i="19"/>
  <c r="E22" i="19"/>
  <c r="D23" i="19"/>
  <c r="E23" i="19"/>
  <c r="D24" i="19"/>
  <c r="E24" i="19"/>
  <c r="D25" i="19"/>
  <c r="E25" i="19"/>
  <c r="D26" i="19"/>
  <c r="E26" i="19"/>
  <c r="D27" i="19"/>
  <c r="E27" i="19"/>
  <c r="D28" i="19"/>
  <c r="E28" i="19"/>
  <c r="D29" i="19"/>
  <c r="E29" i="19"/>
  <c r="D30" i="19"/>
  <c r="E30" i="19"/>
  <c r="D31" i="19"/>
  <c r="E31" i="19"/>
  <c r="D32" i="19"/>
  <c r="E32" i="19"/>
  <c r="D33" i="19"/>
  <c r="E33" i="19"/>
  <c r="D34" i="19"/>
  <c r="E34" i="19"/>
  <c r="D35" i="19"/>
  <c r="E35" i="19"/>
  <c r="ID3" i="35" l="1"/>
  <c r="HX3" i="35"/>
  <c r="HR3" i="35"/>
  <c r="HL3" i="35"/>
  <c r="HF3" i="35"/>
  <c r="GZ3" i="35"/>
  <c r="GT3" i="35"/>
  <c r="GN3" i="35"/>
  <c r="GH3" i="35"/>
  <c r="GB3" i="35"/>
  <c r="FV3" i="35"/>
  <c r="FP3" i="35"/>
  <c r="FJ3" i="35"/>
  <c r="FD3" i="35"/>
  <c r="EX3" i="35"/>
  <c r="ER3" i="35"/>
  <c r="EL3" i="35"/>
  <c r="EF3" i="35"/>
  <c r="DZ3" i="35"/>
  <c r="DT3" i="35"/>
  <c r="DN3" i="35"/>
  <c r="DH3" i="35"/>
  <c r="DB3" i="35"/>
  <c r="CV3" i="35"/>
  <c r="CP3" i="35"/>
  <c r="CJ3" i="35"/>
  <c r="CD3" i="35"/>
  <c r="BX3" i="35"/>
  <c r="BR3" i="35"/>
  <c r="BL3" i="35"/>
  <c r="K9" i="14" l="1"/>
  <c r="K10" i="14"/>
  <c r="K11" i="14"/>
  <c r="K12" i="14"/>
  <c r="K13" i="14"/>
  <c r="K14" i="14"/>
  <c r="K15" i="14"/>
  <c r="K16" i="14"/>
  <c r="K17" i="14"/>
  <c r="K18" i="14"/>
  <c r="K19" i="14"/>
  <c r="K20" i="14"/>
  <c r="K21" i="14"/>
  <c r="K22" i="14"/>
  <c r="K23" i="14"/>
  <c r="K24" i="14"/>
  <c r="K25" i="14"/>
  <c r="K26" i="14"/>
  <c r="K27" i="14"/>
  <c r="K28" i="14"/>
  <c r="K29" i="14"/>
  <c r="K30" i="14"/>
  <c r="K31" i="14"/>
  <c r="K32" i="14"/>
  <c r="K33" i="14"/>
  <c r="K34" i="14"/>
  <c r="K35" i="14"/>
  <c r="K36" i="14"/>
  <c r="K37" i="14"/>
  <c r="D9" i="14"/>
  <c r="E9" i="14"/>
  <c r="F9" i="14"/>
  <c r="D10" i="14"/>
  <c r="E10" i="14"/>
  <c r="F10" i="14"/>
  <c r="D11" i="14"/>
  <c r="E11" i="14"/>
  <c r="F11" i="14"/>
  <c r="D12" i="14"/>
  <c r="E12" i="14"/>
  <c r="F12" i="14"/>
  <c r="D13" i="14"/>
  <c r="E13" i="14"/>
  <c r="F13" i="14"/>
  <c r="D14" i="14"/>
  <c r="E14" i="14"/>
  <c r="F14" i="14"/>
  <c r="D15" i="14"/>
  <c r="E15" i="14"/>
  <c r="F15" i="14"/>
  <c r="D16" i="14"/>
  <c r="E16" i="14"/>
  <c r="F16" i="14"/>
  <c r="D17" i="14"/>
  <c r="E17" i="14"/>
  <c r="F17" i="14"/>
  <c r="D18" i="14"/>
  <c r="E18" i="14"/>
  <c r="F18" i="14"/>
  <c r="D19" i="14"/>
  <c r="E19" i="14"/>
  <c r="F19" i="14"/>
  <c r="D20" i="14"/>
  <c r="E20" i="14"/>
  <c r="F20" i="14"/>
  <c r="D21" i="14"/>
  <c r="E21" i="14"/>
  <c r="F21" i="14"/>
  <c r="D22" i="14"/>
  <c r="E22" i="14"/>
  <c r="F22" i="14"/>
  <c r="D23" i="14"/>
  <c r="E23" i="14"/>
  <c r="F23" i="14"/>
  <c r="D24" i="14"/>
  <c r="E24" i="14"/>
  <c r="F24" i="14"/>
  <c r="D25" i="14"/>
  <c r="E25" i="14"/>
  <c r="F25" i="14"/>
  <c r="D26" i="14"/>
  <c r="E26" i="14"/>
  <c r="F26" i="14"/>
  <c r="D27" i="14"/>
  <c r="E27" i="14"/>
  <c r="F27" i="14"/>
  <c r="D28" i="14"/>
  <c r="E28" i="14"/>
  <c r="F28" i="14"/>
  <c r="D29" i="14"/>
  <c r="E29" i="14"/>
  <c r="F29" i="14"/>
  <c r="D30" i="14"/>
  <c r="E30" i="14"/>
  <c r="F30" i="14"/>
  <c r="D31" i="14"/>
  <c r="E31" i="14"/>
  <c r="F31" i="14"/>
  <c r="D32" i="14"/>
  <c r="E32" i="14"/>
  <c r="F32" i="14"/>
  <c r="D33" i="14"/>
  <c r="E33" i="14"/>
  <c r="F33" i="14"/>
  <c r="D34" i="14"/>
  <c r="E34" i="14"/>
  <c r="F34" i="14"/>
  <c r="D35" i="14"/>
  <c r="E35" i="14"/>
  <c r="F35" i="14"/>
  <c r="D36" i="14"/>
  <c r="E36" i="14"/>
  <c r="F36" i="14"/>
  <c r="D37" i="14"/>
  <c r="E37" i="14"/>
  <c r="F37" i="14"/>
  <c r="U9" i="14" l="1"/>
  <c r="AA9" i="14" s="1"/>
  <c r="N7" i="19" s="1"/>
  <c r="U10" i="14"/>
  <c r="AA10" i="14" s="1"/>
  <c r="N8" i="19" s="1"/>
  <c r="U11" i="14"/>
  <c r="AA11" i="14" s="1"/>
  <c r="U12" i="14"/>
  <c r="U13" i="14"/>
  <c r="U14" i="14"/>
  <c r="U15" i="14"/>
  <c r="U16" i="14"/>
  <c r="U17" i="14"/>
  <c r="U18" i="14"/>
  <c r="U19" i="14"/>
  <c r="U20" i="14"/>
  <c r="U21" i="14"/>
  <c r="AA21" i="14" s="1"/>
  <c r="U22" i="14"/>
  <c r="AA22" i="14" s="1"/>
  <c r="U23" i="14"/>
  <c r="AA23" i="14" s="1"/>
  <c r="U24" i="14"/>
  <c r="AA24" i="14" s="1"/>
  <c r="U25" i="14"/>
  <c r="AA25" i="14" s="1"/>
  <c r="U26" i="14"/>
  <c r="AA26" i="14" s="1"/>
  <c r="U27" i="14"/>
  <c r="AA27" i="14" s="1"/>
  <c r="U28" i="14"/>
  <c r="U29" i="14"/>
  <c r="U30" i="14"/>
  <c r="U31" i="14"/>
  <c r="U32" i="14"/>
  <c r="U33" i="14"/>
  <c r="U34" i="14"/>
  <c r="AA34" i="14" s="1"/>
  <c r="U35" i="14"/>
  <c r="U36" i="14"/>
  <c r="U37" i="14"/>
  <c r="U8" i="14"/>
  <c r="AA8" i="14" s="1"/>
  <c r="T9" i="14"/>
  <c r="Z9" i="14" s="1"/>
  <c r="M7" i="19" s="1"/>
  <c r="T10" i="14"/>
  <c r="Z10" i="14" s="1"/>
  <c r="M8" i="19" s="1"/>
  <c r="T11" i="14"/>
  <c r="Z11" i="14" s="1"/>
  <c r="T12" i="14"/>
  <c r="T13" i="14"/>
  <c r="T14" i="14"/>
  <c r="T15" i="14"/>
  <c r="T16" i="14"/>
  <c r="T17" i="14"/>
  <c r="T18" i="14"/>
  <c r="T19" i="14"/>
  <c r="T20" i="14"/>
  <c r="T21" i="14"/>
  <c r="Z21" i="14" s="1"/>
  <c r="T22" i="14"/>
  <c r="Z22" i="14" s="1"/>
  <c r="T23" i="14"/>
  <c r="Z23" i="14" s="1"/>
  <c r="T24" i="14"/>
  <c r="Z24" i="14" s="1"/>
  <c r="T25" i="14"/>
  <c r="Z25" i="14" s="1"/>
  <c r="T26" i="14"/>
  <c r="Z26" i="14" s="1"/>
  <c r="T27" i="14"/>
  <c r="Z27" i="14" s="1"/>
  <c r="T28" i="14"/>
  <c r="T29" i="14"/>
  <c r="T30" i="14"/>
  <c r="T31" i="14"/>
  <c r="T32" i="14"/>
  <c r="T33" i="14"/>
  <c r="T34" i="14"/>
  <c r="T35" i="14"/>
  <c r="T36" i="14"/>
  <c r="T37" i="14"/>
  <c r="T8" i="14"/>
  <c r="Z8" i="14" s="1"/>
  <c r="S8" i="14"/>
  <c r="P9" i="14"/>
  <c r="Q9" i="14"/>
  <c r="W9" i="14" s="1"/>
  <c r="G7" i="19" s="1"/>
  <c r="R9" i="14"/>
  <c r="S9" i="14"/>
  <c r="P10" i="14"/>
  <c r="Q10" i="14"/>
  <c r="W10" i="14" s="1"/>
  <c r="G8" i="19" s="1"/>
  <c r="R10" i="14"/>
  <c r="S10" i="14"/>
  <c r="V11" i="14"/>
  <c r="Q11" i="14"/>
  <c r="W11" i="14" s="1"/>
  <c r="R11" i="14"/>
  <c r="S11" i="14"/>
  <c r="P12" i="14"/>
  <c r="V12" i="14" s="1"/>
  <c r="Q12" i="14"/>
  <c r="R12" i="14"/>
  <c r="S12" i="14"/>
  <c r="P13" i="14"/>
  <c r="Q13" i="14"/>
  <c r="R13" i="14"/>
  <c r="S13" i="14"/>
  <c r="P14" i="14"/>
  <c r="Q14" i="14"/>
  <c r="W14" i="14" s="1"/>
  <c r="R14" i="14"/>
  <c r="S14" i="14"/>
  <c r="P15" i="14"/>
  <c r="Q15" i="14"/>
  <c r="R15" i="14"/>
  <c r="S15" i="14"/>
  <c r="P16" i="14"/>
  <c r="V16" i="14" s="1"/>
  <c r="Q16" i="14"/>
  <c r="R16" i="14"/>
  <c r="S16" i="14"/>
  <c r="P17" i="14"/>
  <c r="Q17" i="14"/>
  <c r="R17" i="14"/>
  <c r="S17" i="14"/>
  <c r="P18" i="14"/>
  <c r="Q18" i="14"/>
  <c r="R18" i="14"/>
  <c r="S18" i="14"/>
  <c r="P19" i="14"/>
  <c r="Q19" i="14"/>
  <c r="R19" i="14"/>
  <c r="S19" i="14"/>
  <c r="P20" i="14"/>
  <c r="Q20" i="14"/>
  <c r="W20" i="14" s="1"/>
  <c r="R20" i="14"/>
  <c r="S20" i="14"/>
  <c r="P21" i="14"/>
  <c r="V21" i="14" s="1"/>
  <c r="Q21" i="14"/>
  <c r="W21" i="14" s="1"/>
  <c r="R21" i="14"/>
  <c r="S21" i="14"/>
  <c r="P22" i="14"/>
  <c r="V22" i="14" s="1"/>
  <c r="Q22" i="14"/>
  <c r="W22" i="14" s="1"/>
  <c r="R22" i="14"/>
  <c r="S22" i="14"/>
  <c r="P23" i="14"/>
  <c r="V23" i="14" s="1"/>
  <c r="Q23" i="14"/>
  <c r="W23" i="14" s="1"/>
  <c r="R23" i="14"/>
  <c r="S23" i="14"/>
  <c r="P24" i="14"/>
  <c r="V24" i="14" s="1"/>
  <c r="Q24" i="14"/>
  <c r="W24" i="14" s="1"/>
  <c r="R24" i="14"/>
  <c r="S24" i="14"/>
  <c r="P25" i="14"/>
  <c r="V25" i="14" s="1"/>
  <c r="Q25" i="14"/>
  <c r="W25" i="14" s="1"/>
  <c r="R25" i="14"/>
  <c r="S25" i="14"/>
  <c r="P26" i="14"/>
  <c r="V26" i="14" s="1"/>
  <c r="Q26" i="14"/>
  <c r="W26" i="14" s="1"/>
  <c r="R26" i="14"/>
  <c r="S26" i="14"/>
  <c r="P27" i="14"/>
  <c r="V27" i="14" s="1"/>
  <c r="Q27" i="14"/>
  <c r="W27" i="14" s="1"/>
  <c r="R27" i="14"/>
  <c r="S27" i="14"/>
  <c r="P28" i="14"/>
  <c r="Q28" i="14"/>
  <c r="R28" i="14"/>
  <c r="S28" i="14"/>
  <c r="P29" i="14"/>
  <c r="Q29" i="14"/>
  <c r="R29" i="14"/>
  <c r="S29" i="14"/>
  <c r="P30" i="14"/>
  <c r="Q30" i="14"/>
  <c r="R30" i="14"/>
  <c r="S30" i="14"/>
  <c r="P31" i="14"/>
  <c r="Q31" i="14"/>
  <c r="R31" i="14"/>
  <c r="S31" i="14"/>
  <c r="P32" i="14"/>
  <c r="Q32" i="14"/>
  <c r="W32" i="14" s="1"/>
  <c r="R32" i="14"/>
  <c r="S32" i="14"/>
  <c r="P33" i="14"/>
  <c r="Q33" i="14"/>
  <c r="R33" i="14"/>
  <c r="S33" i="14"/>
  <c r="P34" i="14"/>
  <c r="V34" i="14" s="1"/>
  <c r="Q34" i="14"/>
  <c r="W34" i="14" s="1"/>
  <c r="R34" i="14"/>
  <c r="S34" i="14"/>
  <c r="P35" i="14"/>
  <c r="Q35" i="14"/>
  <c r="W35" i="14" s="1"/>
  <c r="R35" i="14"/>
  <c r="S35" i="14"/>
  <c r="P36" i="14"/>
  <c r="Q36" i="14"/>
  <c r="R36" i="14"/>
  <c r="S36" i="14"/>
  <c r="P37" i="14"/>
  <c r="Q37" i="14"/>
  <c r="R37" i="14"/>
  <c r="S37" i="14"/>
  <c r="Q8" i="14"/>
  <c r="W8" i="14" s="1"/>
  <c r="R8" i="14"/>
  <c r="P8" i="14"/>
  <c r="V8" i="14" s="1"/>
  <c r="C28" i="18" l="1"/>
  <c r="E28" i="18"/>
  <c r="D28" i="18"/>
  <c r="E61" i="18"/>
  <c r="D61" i="18"/>
  <c r="C61" i="18"/>
  <c r="I7" i="19"/>
  <c r="K8" i="19"/>
  <c r="I8" i="19"/>
  <c r="C50" i="18"/>
  <c r="I10" i="19"/>
  <c r="K10" i="19"/>
  <c r="V14" i="14"/>
  <c r="F12" i="19" s="1"/>
  <c r="K26" i="19"/>
  <c r="K17" i="19"/>
  <c r="K14" i="19"/>
  <c r="K11" i="19"/>
  <c r="I11" i="19"/>
  <c r="Z14" i="14"/>
  <c r="M12" i="19" s="1"/>
  <c r="I26" i="19"/>
  <c r="I14" i="19"/>
  <c r="I17" i="19"/>
  <c r="AA14" i="14"/>
  <c r="N12" i="19" s="1"/>
  <c r="K25" i="19"/>
  <c r="K16" i="19"/>
  <c r="K13" i="19"/>
  <c r="I25" i="19"/>
  <c r="I16" i="19"/>
  <c r="I13" i="19"/>
  <c r="K12" i="19"/>
  <c r="K29" i="19"/>
  <c r="K23" i="19"/>
  <c r="K20" i="19"/>
  <c r="I29" i="19"/>
  <c r="I23" i="19"/>
  <c r="I20" i="19"/>
  <c r="I35" i="19"/>
  <c r="K34" i="19"/>
  <c r="K31" i="19"/>
  <c r="K28" i="19"/>
  <c r="K22" i="19"/>
  <c r="K35" i="19"/>
  <c r="I34" i="19"/>
  <c r="I31" i="19"/>
  <c r="I28" i="19"/>
  <c r="I22" i="19"/>
  <c r="I19" i="19"/>
  <c r="K30" i="19"/>
  <c r="K27" i="19"/>
  <c r="K24" i="19"/>
  <c r="K21" i="19"/>
  <c r="K18" i="19"/>
  <c r="AA35" i="14"/>
  <c r="V36" i="14"/>
  <c r="F34" i="19" s="1"/>
  <c r="V33" i="14"/>
  <c r="F31" i="19" s="1"/>
  <c r="F22" i="19"/>
  <c r="V15" i="14"/>
  <c r="F13" i="19" s="1"/>
  <c r="V9" i="14"/>
  <c r="Z16" i="14"/>
  <c r="M14" i="19" s="1"/>
  <c r="M25" i="19"/>
  <c r="Z15" i="14"/>
  <c r="M13" i="19" s="1"/>
  <c r="AA33" i="14"/>
  <c r="N31" i="19" s="1"/>
  <c r="N19" i="19"/>
  <c r="AA32" i="14"/>
  <c r="N30" i="19" s="1"/>
  <c r="W29" i="14"/>
  <c r="G27" i="19" s="1"/>
  <c r="W17" i="14"/>
  <c r="G15" i="19" s="1"/>
  <c r="Z37" i="14"/>
  <c r="M35" i="19" s="1"/>
  <c r="M23" i="19"/>
  <c r="Z13" i="14"/>
  <c r="M11" i="19" s="1"/>
  <c r="AA31" i="14"/>
  <c r="N29" i="19" s="1"/>
  <c r="AA19" i="14"/>
  <c r="N17" i="19" s="1"/>
  <c r="W33" i="14"/>
  <c r="G31" i="19" s="1"/>
  <c r="G25" i="19"/>
  <c r="W18" i="14"/>
  <c r="W12" i="14"/>
  <c r="G10" i="19" s="1"/>
  <c r="Z17" i="14"/>
  <c r="M15" i="19" s="1"/>
  <c r="Z28" i="14"/>
  <c r="M26" i="19" s="1"/>
  <c r="N20" i="19"/>
  <c r="M24" i="19"/>
  <c r="AA20" i="14"/>
  <c r="N18" i="19" s="1"/>
  <c r="V35" i="14"/>
  <c r="V32" i="14"/>
  <c r="F30" i="19" s="1"/>
  <c r="V29" i="14"/>
  <c r="F27" i="19" s="1"/>
  <c r="F24" i="19"/>
  <c r="F21" i="19"/>
  <c r="V20" i="14"/>
  <c r="F18" i="19" s="1"/>
  <c r="V17" i="14"/>
  <c r="F15" i="19" s="1"/>
  <c r="Z36" i="14"/>
  <c r="M34" i="19" s="1"/>
  <c r="M22" i="19"/>
  <c r="Z12" i="14"/>
  <c r="M10" i="19" s="1"/>
  <c r="AA30" i="14"/>
  <c r="N28" i="19" s="1"/>
  <c r="AA18" i="14"/>
  <c r="N16" i="19" s="1"/>
  <c r="W36" i="14"/>
  <c r="G34" i="19" s="1"/>
  <c r="AA17" i="14"/>
  <c r="N15" i="19" s="1"/>
  <c r="G22" i="19"/>
  <c r="V30" i="14"/>
  <c r="F28" i="19" s="1"/>
  <c r="F19" i="19"/>
  <c r="Z35" i="14"/>
  <c r="M33" i="19" s="1"/>
  <c r="AA29" i="14"/>
  <c r="N27" i="19" s="1"/>
  <c r="Z34" i="14"/>
  <c r="M32" i="19" s="1"/>
  <c r="M20" i="19"/>
  <c r="AA28" i="14"/>
  <c r="N26" i="19" s="1"/>
  <c r="W31" i="14"/>
  <c r="G29" i="19" s="1"/>
  <c r="G23" i="19"/>
  <c r="G20" i="19"/>
  <c r="W19" i="14"/>
  <c r="G17" i="19" s="1"/>
  <c r="W16" i="14"/>
  <c r="G14" i="19" s="1"/>
  <c r="W13" i="14"/>
  <c r="G11" i="19" s="1"/>
  <c r="V28" i="14"/>
  <c r="F26" i="19" s="1"/>
  <c r="F20" i="19"/>
  <c r="V19" i="14"/>
  <c r="F17" i="19" s="1"/>
  <c r="V13" i="14"/>
  <c r="F11" i="19" s="1"/>
  <c r="V10" i="14"/>
  <c r="F8" i="19" s="1"/>
  <c r="Z32" i="14"/>
  <c r="M30" i="19" s="1"/>
  <c r="Z20" i="14"/>
  <c r="M18" i="19" s="1"/>
  <c r="N24" i="19"/>
  <c r="W30" i="14"/>
  <c r="G28" i="19" s="1"/>
  <c r="G19" i="19"/>
  <c r="W15" i="14"/>
  <c r="G13" i="19" s="1"/>
  <c r="Z29" i="14"/>
  <c r="M27" i="19" s="1"/>
  <c r="N21" i="19"/>
  <c r="F25" i="19"/>
  <c r="V18" i="14"/>
  <c r="F16" i="19" s="1"/>
  <c r="M21" i="19"/>
  <c r="AA16" i="14"/>
  <c r="N14" i="19" s="1"/>
  <c r="W37" i="14"/>
  <c r="G35" i="19" s="1"/>
  <c r="W28" i="14"/>
  <c r="G26" i="19" s="1"/>
  <c r="Z33" i="14"/>
  <c r="M31" i="19" s="1"/>
  <c r="M19" i="19"/>
  <c r="N25" i="19"/>
  <c r="AA15" i="14"/>
  <c r="N13" i="19" s="1"/>
  <c r="V37" i="14"/>
  <c r="F35" i="19" s="1"/>
  <c r="V31" i="14"/>
  <c r="F29" i="19" s="1"/>
  <c r="F23" i="19"/>
  <c r="Z31" i="14"/>
  <c r="M29" i="19" s="1"/>
  <c r="Z19" i="14"/>
  <c r="M17" i="19" s="1"/>
  <c r="AA37" i="14"/>
  <c r="N35" i="19" s="1"/>
  <c r="N23" i="19"/>
  <c r="AA13" i="14"/>
  <c r="Z30" i="14"/>
  <c r="M28" i="19" s="1"/>
  <c r="Z18" i="14"/>
  <c r="M16" i="19" s="1"/>
  <c r="AA36" i="14"/>
  <c r="N34" i="19" s="1"/>
  <c r="N22" i="19"/>
  <c r="AA12" i="14"/>
  <c r="N10" i="19" s="1"/>
  <c r="M9" i="19"/>
  <c r="F10" i="19"/>
  <c r="K32" i="19"/>
  <c r="I32" i="19"/>
  <c r="E39" i="18"/>
  <c r="D39" i="18"/>
  <c r="K6" i="19"/>
  <c r="D50" i="18"/>
  <c r="I6" i="19"/>
  <c r="C39" i="18"/>
  <c r="G6" i="19"/>
  <c r="G32" i="19"/>
  <c r="F9" i="19"/>
  <c r="N6" i="19"/>
  <c r="F32" i="19"/>
  <c r="N9" i="19"/>
  <c r="N32" i="19"/>
  <c r="K9" i="19"/>
  <c r="J33" i="19"/>
  <c r="I33" i="19"/>
  <c r="J24" i="19"/>
  <c r="I24" i="19"/>
  <c r="J9" i="19"/>
  <c r="H33" i="19"/>
  <c r="G33" i="19"/>
  <c r="H30" i="19"/>
  <c r="G30" i="19"/>
  <c r="H24" i="19"/>
  <c r="G24" i="19"/>
  <c r="H21" i="19"/>
  <c r="G21" i="19"/>
  <c r="H18" i="19"/>
  <c r="G18" i="19"/>
  <c r="H12" i="19"/>
  <c r="G12" i="19"/>
  <c r="H9" i="19"/>
  <c r="J18" i="19"/>
  <c r="I18" i="19"/>
  <c r="J27" i="19"/>
  <c r="I27" i="19"/>
  <c r="J21" i="19"/>
  <c r="I21" i="19"/>
  <c r="J30" i="19"/>
  <c r="I30" i="19"/>
  <c r="J12" i="19"/>
  <c r="I12" i="19"/>
  <c r="J15" i="19"/>
  <c r="I15" i="19"/>
  <c r="L33" i="19"/>
  <c r="K33" i="19"/>
  <c r="L30" i="19"/>
  <c r="L27" i="19"/>
  <c r="L24" i="19"/>
  <c r="L21" i="19"/>
  <c r="L18" i="19"/>
  <c r="L15" i="19"/>
  <c r="L12" i="19"/>
  <c r="L9" i="19"/>
  <c r="H35" i="19"/>
  <c r="H11" i="19"/>
  <c r="L34" i="19"/>
  <c r="L31" i="19"/>
  <c r="L28" i="19"/>
  <c r="L25" i="19"/>
  <c r="L22" i="19"/>
  <c r="L19" i="19"/>
  <c r="L16" i="19"/>
  <c r="L13" i="19"/>
  <c r="L10" i="19"/>
  <c r="L7" i="19"/>
  <c r="J35" i="19"/>
  <c r="J32" i="19"/>
  <c r="J29" i="19"/>
  <c r="J26" i="19"/>
  <c r="J23" i="19"/>
  <c r="J20" i="19"/>
  <c r="J17" i="19"/>
  <c r="J14" i="19"/>
  <c r="J11" i="19"/>
  <c r="J8" i="19"/>
  <c r="H23" i="19"/>
  <c r="J31" i="19"/>
  <c r="J19" i="19"/>
  <c r="H34" i="19"/>
  <c r="H31" i="19"/>
  <c r="H28" i="19"/>
  <c r="H25" i="19"/>
  <c r="H22" i="19"/>
  <c r="H19" i="19"/>
  <c r="H16" i="19"/>
  <c r="H13" i="19"/>
  <c r="H10" i="19"/>
  <c r="H7" i="19"/>
  <c r="J7" i="19"/>
  <c r="H27" i="19"/>
  <c r="H15" i="19"/>
  <c r="L35" i="19"/>
  <c r="L32" i="19"/>
  <c r="L29" i="19"/>
  <c r="L26" i="19"/>
  <c r="L23" i="19"/>
  <c r="L20" i="19"/>
  <c r="L17" i="19"/>
  <c r="L14" i="19"/>
  <c r="L11" i="19"/>
  <c r="L8" i="19"/>
  <c r="H32" i="19"/>
  <c r="H29" i="19"/>
  <c r="H26" i="19"/>
  <c r="H20" i="19"/>
  <c r="H17" i="19"/>
  <c r="H14" i="19"/>
  <c r="H8" i="19"/>
  <c r="J34" i="19"/>
  <c r="J28" i="19"/>
  <c r="J25" i="19"/>
  <c r="J22" i="19"/>
  <c r="J16" i="19"/>
  <c r="J13" i="19"/>
  <c r="J10" i="19"/>
  <c r="M6" i="19"/>
  <c r="F6" i="19"/>
  <c r="D6" i="19"/>
  <c r="E6" i="19"/>
  <c r="K8" i="14"/>
  <c r="F8" i="14"/>
  <c r="D8" i="14"/>
  <c r="E8" i="14"/>
  <c r="D30" i="18" l="1"/>
  <c r="E30" i="18"/>
  <c r="C30" i="18"/>
  <c r="D29" i="18"/>
  <c r="E29" i="18"/>
  <c r="C29" i="18"/>
  <c r="C21" i="18"/>
  <c r="E63" i="18"/>
  <c r="C19" i="18"/>
  <c r="C20" i="18"/>
  <c r="C63" i="18"/>
  <c r="D63" i="18"/>
  <c r="C62" i="18"/>
  <c r="D62" i="18"/>
  <c r="E62" i="18"/>
  <c r="K7" i="19"/>
  <c r="E50" i="18"/>
  <c r="E19" i="18"/>
  <c r="K15" i="19"/>
  <c r="Z40" i="14"/>
  <c r="E21" i="18"/>
  <c r="F33" i="19"/>
  <c r="AA40" i="14"/>
  <c r="D21" i="18"/>
  <c r="W40" i="14"/>
  <c r="W39" i="14"/>
  <c r="N33" i="19"/>
  <c r="K19" i="19"/>
  <c r="C51" i="18"/>
  <c r="D51" i="18"/>
  <c r="V38" i="14"/>
  <c r="W38" i="14"/>
  <c r="E51" i="18"/>
  <c r="V40" i="14"/>
  <c r="V39" i="14"/>
  <c r="F7" i="19"/>
  <c r="G16" i="19"/>
  <c r="Z38" i="14"/>
  <c r="Z39" i="14"/>
  <c r="N11" i="19"/>
  <c r="AA38" i="14"/>
  <c r="AA39" i="14"/>
  <c r="D19" i="18"/>
  <c r="E52" i="18"/>
  <c r="C41" i="18"/>
  <c r="D41" i="18"/>
  <c r="E41" i="18"/>
  <c r="D52" i="18"/>
  <c r="C52" i="18"/>
  <c r="D40" i="18"/>
  <c r="E40" i="18"/>
  <c r="D20" i="18"/>
  <c r="F14" i="19"/>
  <c r="E20" i="18"/>
  <c r="I9" i="19"/>
  <c r="C40" i="18"/>
  <c r="G9" i="19"/>
  <c r="Y39" i="14"/>
  <c r="Y38" i="14"/>
  <c r="Y40" i="14"/>
  <c r="X39" i="14"/>
  <c r="X40" i="14"/>
  <c r="X38" i="14"/>
  <c r="K15" i="32"/>
  <c r="K4" i="32"/>
  <c r="I6" i="32"/>
  <c r="K6" i="32" s="1"/>
  <c r="K13" i="32"/>
  <c r="W41" i="14" l="1"/>
  <c r="V41" i="14"/>
  <c r="I2" i="32"/>
  <c r="K2" i="32" s="1"/>
  <c r="AD45" i="31" l="1"/>
  <c r="AE45" i="31"/>
  <c r="AF45" i="31"/>
  <c r="AH45" i="31"/>
  <c r="AI45" i="31"/>
  <c r="AJ45" i="31"/>
  <c r="AB45" i="31"/>
  <c r="BT65" i="31"/>
  <c r="BF45" i="31"/>
  <c r="AU45" i="31"/>
  <c r="Y45" i="31"/>
  <c r="AY45" i="31"/>
  <c r="AC45" i="31"/>
  <c r="R45" i="31"/>
  <c r="BB45" i="31"/>
  <c r="B69" i="31"/>
  <c r="BC45" i="31"/>
  <c r="AR45" i="31"/>
  <c r="AG43" i="31"/>
  <c r="AG42" i="31"/>
  <c r="AG41" i="31"/>
  <c r="V42" i="31"/>
  <c r="V41" i="31"/>
  <c r="E72" i="31"/>
  <c r="E71" i="31"/>
  <c r="C70" i="31"/>
  <c r="C69" i="31"/>
  <c r="D71" i="31"/>
  <c r="D70" i="31"/>
  <c r="Z14" i="31"/>
  <c r="Y14" i="31"/>
  <c r="X14" i="31"/>
  <c r="W14" i="31"/>
  <c r="U14" i="31"/>
  <c r="T14" i="31"/>
  <c r="S14" i="31"/>
  <c r="R14" i="31"/>
  <c r="Q14" i="31"/>
  <c r="E45" i="31"/>
  <c r="F26" i="31"/>
  <c r="E26" i="31"/>
  <c r="V14" i="31"/>
  <c r="C71" i="31"/>
  <c r="E70" i="31"/>
  <c r="E69" i="31"/>
  <c r="D72" i="31"/>
  <c r="D69" i="31"/>
  <c r="C72" i="31"/>
  <c r="B72" i="31"/>
  <c r="B71" i="31"/>
  <c r="B70" i="31"/>
  <c r="B73" i="31" s="1"/>
  <c r="B63" i="18"/>
  <c r="B62" i="18"/>
  <c r="B61" i="18"/>
  <c r="B52" i="18"/>
  <c r="B51" i="18"/>
  <c r="B50" i="18"/>
  <c r="B41" i="18"/>
  <c r="B40" i="18"/>
  <c r="B39" i="18"/>
  <c r="B30" i="18"/>
  <c r="B29" i="18"/>
  <c r="B28" i="18"/>
  <c r="A4" i="19"/>
  <c r="A6" i="14"/>
  <c r="B21" i="18"/>
  <c r="B20" i="18"/>
  <c r="B19" i="18"/>
  <c r="C14" i="31"/>
  <c r="A2" i="30"/>
  <c r="D3" i="19"/>
  <c r="C2" i="31"/>
  <c r="B2" i="31"/>
  <c r="A2" i="31"/>
  <c r="A2" i="22"/>
  <c r="C2" i="22"/>
  <c r="E37" i="19"/>
  <c r="E38" i="19"/>
  <c r="E39" i="19"/>
  <c r="A5" i="14"/>
  <c r="D5" i="14"/>
  <c r="H69" i="31" l="1"/>
  <c r="D73" i="31"/>
  <c r="H72" i="31"/>
  <c r="AG45" i="31"/>
  <c r="D14" i="31"/>
  <c r="E73" i="31"/>
  <c r="H70" i="31"/>
  <c r="H71" i="31"/>
  <c r="L14" i="31"/>
  <c r="J6" i="19"/>
  <c r="H6" i="19"/>
  <c r="L6" i="19"/>
  <c r="B2" i="30"/>
  <c r="D26" i="31"/>
  <c r="C73" i="31"/>
  <c r="L13" i="31"/>
  <c r="F6" i="18"/>
  <c r="D45" i="31"/>
  <c r="F45" i="31"/>
  <c r="C26" i="31"/>
  <c r="L12" i="31"/>
  <c r="V45" i="31"/>
  <c r="C45" i="31"/>
  <c r="B29" i="30" l="1"/>
  <c r="H33" i="30"/>
  <c r="E31" i="30"/>
  <c r="C29" i="30"/>
  <c r="E32" i="30"/>
  <c r="H32" i="30"/>
  <c r="E30" i="30"/>
  <c r="B33" i="30"/>
  <c r="H31" i="30"/>
  <c r="E29" i="30"/>
  <c r="B32" i="30"/>
  <c r="E33" i="30"/>
  <c r="H30" i="30"/>
  <c r="D33" i="30"/>
  <c r="B31" i="30"/>
  <c r="H29" i="30"/>
  <c r="D32" i="30"/>
  <c r="B30" i="30"/>
  <c r="C31" i="30"/>
  <c r="F33" i="30"/>
  <c r="G33" i="30" s="1"/>
  <c r="D31" i="30"/>
  <c r="F32" i="30"/>
  <c r="G32" i="30" s="1"/>
  <c r="D30" i="30"/>
  <c r="C30" i="30"/>
  <c r="F31" i="30"/>
  <c r="G31" i="30" s="1"/>
  <c r="D29" i="30"/>
  <c r="C32" i="30"/>
  <c r="F30" i="30"/>
  <c r="G30" i="30" s="1"/>
  <c r="C33" i="30"/>
  <c r="F29" i="30"/>
  <c r="G29" i="30" s="1"/>
  <c r="H73" i="31"/>
  <c r="F69" i="31"/>
  <c r="F70" i="31" l="1"/>
  <c r="F50" i="18"/>
  <c r="G50" i="18"/>
  <c r="F39" i="18"/>
  <c r="G39" i="18"/>
  <c r="Z41" i="14"/>
  <c r="K37" i="19"/>
  <c r="N38" i="19"/>
  <c r="M37" i="19"/>
  <c r="M38" i="19"/>
  <c r="M39" i="19"/>
  <c r="I38" i="19"/>
  <c r="I37" i="19"/>
  <c r="I39" i="19"/>
  <c r="F63" i="18"/>
  <c r="F71" i="31" l="1"/>
  <c r="G70" i="31"/>
  <c r="C64" i="18"/>
  <c r="E64" i="18"/>
  <c r="G61" i="18"/>
  <c r="F61" i="18"/>
  <c r="D64" i="18"/>
  <c r="E53" i="18"/>
  <c r="F51" i="18"/>
  <c r="F41" i="18"/>
  <c r="E42" i="18"/>
  <c r="K39" i="19"/>
  <c r="X41" i="14"/>
  <c r="K38" i="19"/>
  <c r="C53" i="18"/>
  <c r="D53" i="18"/>
  <c r="D42" i="18"/>
  <c r="M40" i="19"/>
  <c r="N37" i="19"/>
  <c r="F28" i="18"/>
  <c r="G28" i="18"/>
  <c r="I40" i="19"/>
  <c r="D22" i="18"/>
  <c r="F20" i="18"/>
  <c r="E31" i="18"/>
  <c r="G38" i="19"/>
  <c r="G37" i="19"/>
  <c r="F29" i="18"/>
  <c r="C31" i="18"/>
  <c r="AA41" i="14"/>
  <c r="F62" i="18"/>
  <c r="F40" i="18"/>
  <c r="C42" i="18"/>
  <c r="F37" i="19"/>
  <c r="F39" i="19"/>
  <c r="F38" i="19"/>
  <c r="F30" i="18"/>
  <c r="Y41" i="14"/>
  <c r="F52" i="18"/>
  <c r="E22" i="18"/>
  <c r="F21" i="18"/>
  <c r="N39" i="19"/>
  <c r="G19" i="18"/>
  <c r="F19" i="18"/>
  <c r="C22" i="18"/>
  <c r="D31" i="18"/>
  <c r="G39" i="19"/>
  <c r="F72" i="31" l="1"/>
  <c r="G72" i="31" s="1"/>
  <c r="G71" i="31"/>
  <c r="F53" i="18"/>
  <c r="F64" i="18"/>
  <c r="E65" i="18" s="1"/>
  <c r="N40" i="19"/>
  <c r="F42" i="18"/>
  <c r="K40" i="19"/>
  <c r="G40" i="19"/>
  <c r="F22" i="18"/>
  <c r="E23" i="18" s="1"/>
  <c r="F40" i="19"/>
  <c r="F31" i="18"/>
  <c r="D32" i="18" s="1"/>
  <c r="D65" i="18" l="1"/>
  <c r="C65" i="18"/>
  <c r="D23" i="18"/>
  <c r="C23" i="18"/>
  <c r="E32" i="18"/>
  <c r="C32" i="18"/>
  <c r="G51" i="18" l="1"/>
  <c r="G20" i="18"/>
  <c r="G62" i="18"/>
  <c r="G29" i="18"/>
  <c r="G40" i="18"/>
  <c r="G63" i="18" l="1"/>
  <c r="G64" i="18" s="1"/>
  <c r="H64" i="18" s="1"/>
  <c r="D66" i="18" s="1"/>
  <c r="G41" i="18"/>
  <c r="G42" i="18" s="1"/>
  <c r="G52" i="18"/>
  <c r="G53" i="18" s="1"/>
  <c r="G21" i="18"/>
  <c r="G22" i="18" s="1"/>
  <c r="G30" i="18"/>
  <c r="G31" i="18" s="1"/>
  <c r="F9" i="18"/>
  <c r="J21" i="18" l="1"/>
  <c r="C34" i="18"/>
  <c r="H31" i="18"/>
  <c r="D33" i="18" s="1"/>
  <c r="H22" i="18"/>
  <c r="D24" i="18" s="1"/>
  <c r="I21" i="18"/>
  <c r="H53" i="18"/>
  <c r="D55" i="18" s="1"/>
  <c r="C56" i="18"/>
  <c r="C45" i="18"/>
  <c r="H42" i="18"/>
  <c r="D44" i="18" s="1"/>
  <c r="AK10" i="14"/>
  <c r="AK9" i="14"/>
  <c r="AK8" i="14"/>
  <c r="AI17" i="14"/>
  <c r="AI16" i="14"/>
  <c r="AI15" i="14"/>
  <c r="AI14" i="14"/>
  <c r="AI13" i="14"/>
  <c r="AI12" i="14"/>
  <c r="AI11" i="14"/>
  <c r="AI10" i="14"/>
  <c r="AI9" i="14"/>
  <c r="AI8"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Jaime Paolo Ramirez Melendez</author>
  </authors>
  <commentList>
    <comment ref="F7" authorId="0" shapeId="0" xr:uid="{D29AE2FA-C60F-4D6D-BA22-18C8DD7D8C23}">
      <text>
        <r>
          <rPr>
            <b/>
            <sz val="9"/>
            <color indexed="81"/>
            <rFont val="Tahoma"/>
            <family val="2"/>
          </rPr>
          <t>Jaime Paolo Ramirez Melendez:</t>
        </r>
        <r>
          <rPr>
            <sz val="9"/>
            <color indexed="81"/>
            <rFont val="Tahoma"/>
            <family val="2"/>
          </rPr>
          <t xml:space="preserve">
(antes de las 14 semanas de gestación).</t>
        </r>
      </text>
    </comment>
    <comment ref="F8" authorId="0" shapeId="0" xr:uid="{B76CF443-FCB4-4CDF-BB6F-79EF076A8268}">
      <text>
        <r>
          <rPr>
            <b/>
            <sz val="9"/>
            <color indexed="81"/>
            <rFont val="Tahoma"/>
            <family val="2"/>
          </rPr>
          <t>Jaime Paolo Ramirez Melendez:</t>
        </r>
        <r>
          <rPr>
            <sz val="9"/>
            <color indexed="81"/>
            <rFont val="Tahoma"/>
            <family val="2"/>
          </rPr>
          <t xml:space="preserve">
Sintaxis de Convenio de Gestion</t>
        </r>
      </text>
    </comment>
    <comment ref="G8" authorId="0" shapeId="0" xr:uid="{D572ED40-E435-4FBC-B01B-0CEA39902D6F}">
      <text>
        <r>
          <rPr>
            <b/>
            <sz val="9"/>
            <color indexed="81"/>
            <rFont val="Tahoma"/>
            <family val="2"/>
          </rPr>
          <t>Jaime Paolo Ramirez Melendez:</t>
        </r>
        <r>
          <rPr>
            <sz val="9"/>
            <color indexed="81"/>
            <rFont val="Tahoma"/>
            <family val="2"/>
          </rPr>
          <t xml:space="preserve">
Gobierno Regional</t>
        </r>
      </text>
    </comment>
    <comment ref="G9" authorId="0" shapeId="0" xr:uid="{0ACE0E8D-9B54-4AE3-90C9-555FC011B760}">
      <text>
        <r>
          <rPr>
            <b/>
            <sz val="9"/>
            <color indexed="81"/>
            <rFont val="Tahoma"/>
            <family val="2"/>
          </rPr>
          <t>Jaime Paolo Ramirez Melendez:</t>
        </r>
        <r>
          <rPr>
            <sz val="9"/>
            <color indexed="81"/>
            <rFont val="Tahoma"/>
            <family val="2"/>
          </rPr>
          <t xml:space="preserve">
primer se extrae el 63.3% de la Pob MEF y luego el 40% del 63.3%</t>
        </r>
      </text>
    </comment>
    <comment ref="F10" authorId="0" shapeId="0" xr:uid="{73936BE2-71F1-4200-B79B-EEB4DC93D324}">
      <text>
        <r>
          <rPr>
            <b/>
            <sz val="9"/>
            <color indexed="81"/>
            <rFont val="Tahoma"/>
            <family val="2"/>
          </rPr>
          <t>Jaime Paolo Ramirez Melendez:</t>
        </r>
        <r>
          <rPr>
            <sz val="9"/>
            <color indexed="81"/>
            <rFont val="Tahoma"/>
            <family val="2"/>
          </rPr>
          <t xml:space="preserve">
Gobierno Regional</t>
        </r>
      </text>
    </comment>
    <comment ref="G20" authorId="0" shapeId="0" xr:uid="{3BAF47D7-728B-42C3-9220-72A604F2C244}">
      <text>
        <r>
          <rPr>
            <b/>
            <sz val="9"/>
            <color indexed="81"/>
            <rFont val="Tahoma"/>
            <family val="2"/>
          </rPr>
          <t>Jaime Paolo Ramirez Melendez:</t>
        </r>
        <r>
          <rPr>
            <sz val="9"/>
            <color indexed="81"/>
            <rFont val="Tahoma"/>
            <family val="2"/>
          </rPr>
          <t xml:space="preserve">
Unica vez DX (D o R)</t>
        </r>
      </text>
    </comment>
    <comment ref="G21" authorId="0" shapeId="0" xr:uid="{98082D25-180E-449B-B870-2F8BA2DFAFCF}">
      <text>
        <r>
          <rPr>
            <b/>
            <sz val="9"/>
            <color indexed="81"/>
            <rFont val="Tahoma"/>
            <family val="2"/>
          </rPr>
          <t>Jaime Paolo Ramirez Melendez:</t>
        </r>
        <r>
          <rPr>
            <sz val="9"/>
            <color indexed="81"/>
            <rFont val="Tahoma"/>
            <family val="2"/>
          </rPr>
          <t xml:space="preserve">
Unica vez DX (D o R)</t>
        </r>
      </text>
    </comment>
    <comment ref="G29" authorId="0" shapeId="0" xr:uid="{8A3DB132-5823-45BB-8770-385D83C0054C}">
      <text>
        <r>
          <rPr>
            <b/>
            <sz val="9"/>
            <color indexed="81"/>
            <rFont val="Tahoma"/>
            <family val="2"/>
          </rPr>
          <t>Jaime Paolo Ramirez Melendez:</t>
        </r>
        <r>
          <rPr>
            <sz val="9"/>
            <color indexed="81"/>
            <rFont val="Tahoma"/>
            <family val="2"/>
          </rPr>
          <t xml:space="preserve">
Falta Definir correctamente con la estrategia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master</author>
  </authors>
  <commentList>
    <comment ref="AK22" authorId="0" shapeId="0" xr:uid="{00000000-0006-0000-0400-000001000000}">
      <text>
        <r>
          <rPr>
            <sz val="9"/>
            <color indexed="81"/>
            <rFont val="Tahoma"/>
            <family val="2"/>
          </rPr>
          <t xml:space="preserve">Pizana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Jaime Paolo Ramirez Melendez</author>
  </authors>
  <commentList>
    <comment ref="G3" authorId="0" shapeId="0" xr:uid="{A0187121-8018-45A1-A9E9-34259663F84B}">
      <text>
        <r>
          <rPr>
            <b/>
            <sz val="9"/>
            <color indexed="81"/>
            <rFont val="Tahoma"/>
            <family val="2"/>
          </rPr>
          <t>Jaime Paolo Ramirez Melendez:</t>
        </r>
        <r>
          <rPr>
            <sz val="9"/>
            <color indexed="81"/>
            <rFont val="Tahoma"/>
            <family val="2"/>
          </rPr>
          <t xml:space="preserve">
(antes de las 14 semanas de gestación).</t>
        </r>
      </text>
    </comment>
    <comment ref="H3" authorId="0" shapeId="0" xr:uid="{D31EEF10-F1A2-40F1-94DA-EF384B195C82}">
      <text>
        <r>
          <rPr>
            <b/>
            <sz val="9"/>
            <color indexed="81"/>
            <rFont val="Tahoma"/>
            <family val="2"/>
          </rPr>
          <t>Jaime Paolo Ramirez Melendez:</t>
        </r>
        <r>
          <rPr>
            <sz val="9"/>
            <color indexed="81"/>
            <rFont val="Tahoma"/>
            <family val="2"/>
          </rPr>
          <t xml:space="preserve">
Sintaxis de Convenio de Gestion</t>
        </r>
      </text>
    </comment>
    <comment ref="J3" authorId="0" shapeId="0" xr:uid="{74CC71FF-277F-42CC-A723-0E8A37818388}">
      <text>
        <r>
          <rPr>
            <b/>
            <sz val="9"/>
            <color indexed="81"/>
            <rFont val="Tahoma"/>
            <family val="2"/>
          </rPr>
          <t>Jaime Paolo Ramirez Melendez:</t>
        </r>
        <r>
          <rPr>
            <sz val="9"/>
            <color indexed="81"/>
            <rFont val="Tahoma"/>
            <family val="2"/>
          </rPr>
          <t xml:space="preserve">
Gobierno Regional</t>
        </r>
      </text>
    </comment>
    <comment ref="AK3" authorId="0" shapeId="0" xr:uid="{283073D1-493D-4CCA-B820-859115C3F8CC}">
      <text>
        <r>
          <rPr>
            <b/>
            <sz val="9"/>
            <color indexed="81"/>
            <rFont val="Tahoma"/>
            <family val="2"/>
          </rPr>
          <t>Jaime Paolo Ramirez Melendez:</t>
        </r>
        <r>
          <rPr>
            <sz val="9"/>
            <color indexed="81"/>
            <rFont val="Tahoma"/>
            <family val="2"/>
          </rPr>
          <t xml:space="preserve">
(antes de las 14 semanas de gestación).</t>
        </r>
      </text>
    </comment>
    <comment ref="AL3" authorId="0" shapeId="0" xr:uid="{F1A5DFD4-C7A1-41F7-B4BD-CAFDDCA6175E}">
      <text>
        <r>
          <rPr>
            <b/>
            <sz val="9"/>
            <color indexed="81"/>
            <rFont val="Tahoma"/>
            <family val="2"/>
          </rPr>
          <t>Jaime Paolo Ramirez Melendez:</t>
        </r>
        <r>
          <rPr>
            <sz val="9"/>
            <color indexed="81"/>
            <rFont val="Tahoma"/>
            <family val="2"/>
          </rPr>
          <t xml:space="preserve">
Sintaxis de Convenio de Gestion</t>
        </r>
      </text>
    </comment>
    <comment ref="AN3" authorId="0" shapeId="0" xr:uid="{86FD7248-CBB3-4BCA-A019-CAF8BFF43FB2}">
      <text>
        <r>
          <rPr>
            <b/>
            <sz val="9"/>
            <color indexed="81"/>
            <rFont val="Tahoma"/>
            <family val="2"/>
          </rPr>
          <t>Jaime Paolo Ramirez Melendez:</t>
        </r>
        <r>
          <rPr>
            <sz val="9"/>
            <color indexed="81"/>
            <rFont val="Tahoma"/>
            <family val="2"/>
          </rPr>
          <t xml:space="preserve">
Gobierno Regional</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<sst xmlns="http://schemas.openxmlformats.org/spreadsheetml/2006/main" count="1437" uniqueCount="556">
  <si>
    <t>NUMERADOR</t>
  </si>
  <si>
    <t>DENOMINADOR</t>
  </si>
  <si>
    <t>INDICADOR</t>
  </si>
  <si>
    <t>VERIFICADOR</t>
  </si>
  <si>
    <t>RANGOS DE CUMPLIMENTO</t>
  </si>
  <si>
    <t>ADECUADO</t>
  </si>
  <si>
    <t xml:space="preserve">REGULAR </t>
  </si>
  <si>
    <t>DEFICIENTE</t>
  </si>
  <si>
    <t>SISTEMA DE MONITOREO Y EVALUACIÓN</t>
  </si>
  <si>
    <t>1.-</t>
  </si>
  <si>
    <t>2.-</t>
  </si>
  <si>
    <t>3.-</t>
  </si>
  <si>
    <t>CUMPLIMIENTO</t>
  </si>
  <si>
    <t xml:space="preserve">CUADRO DE INDICADORES </t>
  </si>
  <si>
    <t>DEFINICIONES OPERATIVAS</t>
  </si>
  <si>
    <t>NIÑO</t>
  </si>
  <si>
    <t>&gt;</t>
  </si>
  <si>
    <t>&lt;</t>
  </si>
  <si>
    <t>GRÁFICOS DE GESTIÓN</t>
  </si>
  <si>
    <t>Nombre</t>
  </si>
  <si>
    <t>Cargo</t>
  </si>
  <si>
    <t>Correo electrónico</t>
  </si>
  <si>
    <t>Teléfono</t>
  </si>
  <si>
    <t>DATOS DE LA PERSONA RESPONSABLE DE LA RECOPILACIÓN Y VALIDACIÓN DE DATOS</t>
  </si>
  <si>
    <t>Tiempo en el cargo</t>
  </si>
  <si>
    <t>Llenar las celdas en blanco con la información solicitada</t>
  </si>
  <si>
    <t>PONDERADOS</t>
  </si>
  <si>
    <t>CALIFICACIÓN</t>
  </si>
  <si>
    <t>Nº INDICADORES</t>
  </si>
  <si>
    <t>4.-</t>
  </si>
  <si>
    <t>5.-</t>
  </si>
  <si>
    <t>CALIFICACIONES</t>
  </si>
  <si>
    <t>RANGO</t>
  </si>
  <si>
    <t>2006-2008</t>
  </si>
  <si>
    <t>AMBITO DE LA INFORMACION</t>
  </si>
  <si>
    <t>EsSalud</t>
  </si>
  <si>
    <t>FFPP</t>
  </si>
  <si>
    <t>FFAA</t>
  </si>
  <si>
    <t>FAP</t>
  </si>
  <si>
    <t>Marina</t>
  </si>
  <si>
    <t>Ejército</t>
  </si>
  <si>
    <r>
      <t xml:space="preserve">Privados </t>
    </r>
    <r>
      <rPr>
        <i/>
        <sz val="8"/>
        <rFont val="Arial"/>
        <family val="2"/>
      </rPr>
      <t>(especifique)</t>
    </r>
  </si>
  <si>
    <t>Marque con una X a las organizaciones que correspondan la Información</t>
  </si>
  <si>
    <t>PERFORMANCE DE LOS INDICADORES</t>
  </si>
  <si>
    <t>6.-</t>
  </si>
  <si>
    <t>El análisis deberá reflejarse en la matriz de logros y desafíos (L&amp;D)</t>
  </si>
  <si>
    <t>1.1</t>
  </si>
  <si>
    <t>1.2</t>
  </si>
  <si>
    <t>2.1</t>
  </si>
  <si>
    <t>2.2</t>
  </si>
  <si>
    <t>2.3</t>
  </si>
  <si>
    <t>2.4</t>
  </si>
  <si>
    <t>LOGROS EN GESTION</t>
  </si>
  <si>
    <t>LOGROS SANITARIOS</t>
  </si>
  <si>
    <t>(*2) Son aquellos factores que han contribuido a que se consiga el logro</t>
  </si>
  <si>
    <t xml:space="preserve">LOGROS (*1) </t>
  </si>
  <si>
    <t>FACTORES DE ÉXITO (*2)</t>
  </si>
  <si>
    <t>DESAFIOS (*3)</t>
  </si>
  <si>
    <t>REQUERIMIENTOS (*4)</t>
  </si>
  <si>
    <t>(*4) Son aquellos recursos y condiciones que se requieren para superar los desafíos</t>
  </si>
  <si>
    <t>DESAFIOS EN GESTION</t>
  </si>
  <si>
    <t>DESAFIOS SANITARIOS</t>
  </si>
  <si>
    <t>TRIMESTRE</t>
  </si>
  <si>
    <t>I</t>
  </si>
  <si>
    <t>II</t>
  </si>
  <si>
    <t>III</t>
  </si>
  <si>
    <t>IV</t>
  </si>
  <si>
    <t>INDICADORES REGIONALES</t>
  </si>
  <si>
    <t>Gestante Atendida Precozmente</t>
  </si>
  <si>
    <t>Gestante Controlada</t>
  </si>
  <si>
    <t>Recien Nacido Controlado</t>
  </si>
  <si>
    <t>DENGUE</t>
  </si>
  <si>
    <t>MEDICAMENTOS</t>
  </si>
  <si>
    <t>VALOR</t>
  </si>
  <si>
    <t>SAN MARTIN</t>
  </si>
  <si>
    <t xml:space="preserve">INDICADORES DE MONITOREO Y SEGUIMIENTO A ACCIONES ESTRATEGICAS DE SALUD </t>
  </si>
  <si>
    <t>HIS</t>
  </si>
  <si>
    <t xml:space="preserve">Gestante con Plan de Parto Efectivisado </t>
  </si>
  <si>
    <t xml:space="preserve">DATOS DEL DIRECTOR DE LA RED </t>
  </si>
  <si>
    <t>RED</t>
  </si>
  <si>
    <t>RED EL DORADO</t>
  </si>
  <si>
    <t>RED HUALLAGA</t>
  </si>
  <si>
    <t>RED LAMAS</t>
  </si>
  <si>
    <t>RED SAN MARTIN</t>
  </si>
  <si>
    <t>RED MARISCAL CACERES</t>
  </si>
  <si>
    <t>RED BELLAVISTA</t>
  </si>
  <si>
    <t>RED MOYOBAMBA</t>
  </si>
  <si>
    <t>RED RIOJA</t>
  </si>
  <si>
    <t>RED PICOTA</t>
  </si>
  <si>
    <t>RED TOCACHE</t>
  </si>
  <si>
    <t>Prevalencia de ITU en la gestante</t>
  </si>
  <si>
    <t>I Trimestre</t>
  </si>
  <si>
    <t>Cumplimiento</t>
  </si>
  <si>
    <t>Tendencia</t>
  </si>
  <si>
    <t>Localidad con tratamiento focal</t>
  </si>
  <si>
    <t>Vivienda protegida</t>
  </si>
  <si>
    <t>PRESTACION</t>
  </si>
  <si>
    <t>&lt; 1 año</t>
  </si>
  <si>
    <t>1 año</t>
  </si>
  <si>
    <t>12-17 años</t>
  </si>
  <si>
    <t xml:space="preserve"> 5 a 11 años</t>
  </si>
  <si>
    <t xml:space="preserve"> 2 a 4 años</t>
  </si>
  <si>
    <t>18-29 años</t>
  </si>
  <si>
    <t>30-59 años</t>
  </si>
  <si>
    <t>Recursos Directamente Recaudados</t>
  </si>
  <si>
    <t>I Trim</t>
  </si>
  <si>
    <t>IV Trim</t>
  </si>
  <si>
    <t>III Trim.</t>
  </si>
  <si>
    <t>Muertes Neonatales</t>
  </si>
  <si>
    <t>II Trimestre</t>
  </si>
  <si>
    <t>III Trimestre</t>
  </si>
  <si>
    <t xml:space="preserve">IV Trimestre </t>
  </si>
  <si>
    <t>Anual</t>
  </si>
  <si>
    <t>TOTAL</t>
  </si>
  <si>
    <t>EDAD</t>
  </si>
  <si>
    <t>POBLACIONES ESPECÍFICAS</t>
  </si>
  <si>
    <t>TIPO</t>
  </si>
  <si>
    <t>FUENTE</t>
  </si>
  <si>
    <t>N°</t>
  </si>
  <si>
    <t>Niño y niña de 01 mes hasta los 11 meses 29 días.</t>
  </si>
  <si>
    <t>DIRES / RED</t>
  </si>
  <si>
    <t>---Seleccione---</t>
  </si>
  <si>
    <t>7.-</t>
  </si>
  <si>
    <t>La información corresponde a todos los establecimientos comprendidos en cada una de las redes.</t>
  </si>
  <si>
    <t>Los datos del Director  y responsable de la Información se ingresarán en la ficha de contacto (FC)</t>
  </si>
  <si>
    <t>El Tablero de mando, performance y gráficos se elaboran automáticamente</t>
  </si>
  <si>
    <t>Control de crecimiento y desarrollo: Conjunto de actividades periódicas y sistemáticas desarrolladas por el profesional enfermera o médico, con el objetivo de vigilar de manera adecuada y oportuna el crecimiento y desarrollo de la niña y el niño a fin de detectar de manera precoz y oportuna riesgos, alteraciones o trastornos, así como la presencia de enfermedades, facilitando su diagnóstico e intervención oportuna.</t>
  </si>
  <si>
    <t>La información de los indicadores será ingresada sólo en las fichas 1 y 2 (F1 y F2)</t>
  </si>
  <si>
    <t>La información es de caracter oficial y bajo responsabilidad</t>
  </si>
  <si>
    <t xml:space="preserve">LOGROS Y DESAFIOS DE LA GESTION </t>
  </si>
  <si>
    <t>PERIODO</t>
  </si>
  <si>
    <t>I TRIMESTRE</t>
  </si>
  <si>
    <t>II TRIMESTRE</t>
  </si>
  <si>
    <t>III TRIMESTRE</t>
  </si>
  <si>
    <t>IV TRIMESTRE</t>
  </si>
  <si>
    <t>SEMESTRAL</t>
  </si>
  <si>
    <t>ANUAL</t>
  </si>
  <si>
    <t>Smestral</t>
  </si>
  <si>
    <t>REGION</t>
  </si>
  <si>
    <t xml:space="preserve">INDICADORES POBLACIONALES </t>
  </si>
  <si>
    <t>MORTALIDAD</t>
  </si>
  <si>
    <t>AVANCE DE METAS PROGRAMATICAS</t>
  </si>
  <si>
    <t>TABLERO DE MANDO</t>
  </si>
  <si>
    <t xml:space="preserve">PERFORMANCE </t>
  </si>
  <si>
    <t>II Trim</t>
  </si>
  <si>
    <t>GESTION</t>
  </si>
  <si>
    <t>COMPONENTES</t>
  </si>
  <si>
    <t>ORGANIZACIÓN</t>
  </si>
  <si>
    <t>60 a más</t>
  </si>
  <si>
    <t>Población Afiliada SIS</t>
  </si>
  <si>
    <t xml:space="preserve">PUNTAJE OBTENIDO </t>
  </si>
  <si>
    <t>PRIMER TRIMESTRE</t>
  </si>
  <si>
    <t>Recursos Ordinarios</t>
  </si>
  <si>
    <t>III Trim</t>
  </si>
  <si>
    <t>*Considerar muertes maternas directas, indirectas e incidentales</t>
  </si>
  <si>
    <t>Muertes Maternas*</t>
  </si>
  <si>
    <t>FICHA DE CONTACTO</t>
  </si>
  <si>
    <t>POBLACIONES ESTIMADAS / ESPERADAS</t>
  </si>
  <si>
    <t>calificación que el promedio del trimestre anterior</t>
  </si>
  <si>
    <t>ESTABLECIMENTOS DE SALUD</t>
  </si>
  <si>
    <t>Puestos de Salud I-1</t>
  </si>
  <si>
    <t>Puestos de Salud I-2</t>
  </si>
  <si>
    <t>Hospitales II-E</t>
  </si>
  <si>
    <t>Hospitales II-1</t>
  </si>
  <si>
    <t>Centros de Salud I-4</t>
  </si>
  <si>
    <t>Centros de Salud I-3</t>
  </si>
  <si>
    <t>*Actualizar si hubiese cambios por trimestres</t>
  </si>
  <si>
    <t>N° MICRORREDES</t>
  </si>
  <si>
    <t>TERCER TRIMESTRE</t>
  </si>
  <si>
    <t>SEGUNDO TRIMESTRE</t>
  </si>
  <si>
    <t>PRODUCCION DE SERVICOS</t>
  </si>
  <si>
    <t>Atendidos</t>
  </si>
  <si>
    <t>Atenciones</t>
  </si>
  <si>
    <t>Partos esperados</t>
  </si>
  <si>
    <t>ORGANIZACIÓN DE SERVICIOS</t>
  </si>
  <si>
    <t>Recién Nacidos esperados</t>
  </si>
  <si>
    <t>Seguro Intregal de Salud (Reembolso)</t>
  </si>
  <si>
    <t>Poblacion en quintil 1 y 2 de pobreza</t>
  </si>
  <si>
    <t xml:space="preserve">RECURSOS FINANCIEROS </t>
  </si>
  <si>
    <t xml:space="preserve">RECURSOS HUMANOS </t>
  </si>
  <si>
    <t>Parturienta con 6 controles</t>
  </si>
  <si>
    <t>Recien Nacido con control antes 7 dias</t>
  </si>
  <si>
    <t>REFERENCIA</t>
  </si>
  <si>
    <t>OPERATIVIDAD</t>
  </si>
  <si>
    <t>I SEMESTRE</t>
  </si>
  <si>
    <t xml:space="preserve">PRESTACION </t>
  </si>
  <si>
    <t>N° Tecnicos de Enfermería</t>
  </si>
  <si>
    <t>N° Odontólogos</t>
  </si>
  <si>
    <t>N° Obstetras</t>
  </si>
  <si>
    <t>N° Enfermeras</t>
  </si>
  <si>
    <t>N° Psicólogos</t>
  </si>
  <si>
    <t>N° Médicos</t>
  </si>
  <si>
    <t>Seguro Intregal de Salud (Capita)</t>
  </si>
  <si>
    <t>Gestantes esperadas</t>
  </si>
  <si>
    <t>CUARTO TRIMESTRE</t>
  </si>
  <si>
    <t>en el cumplimiento de los indicadores</t>
  </si>
  <si>
    <t>calificación que el trimestre anterior</t>
  </si>
  <si>
    <r>
      <t xml:space="preserve">En el </t>
    </r>
    <r>
      <rPr>
        <b/>
        <sz val="14"/>
        <rFont val="Century Gothic"/>
        <family val="2"/>
      </rPr>
      <t>SEGUNDO TRIMESTRE</t>
    </r>
    <r>
      <rPr>
        <sz val="14"/>
        <rFont val="Century Gothic"/>
        <family val="2"/>
      </rPr>
      <t xml:space="preserve"> se ha obtenido una calificación </t>
    </r>
  </si>
  <si>
    <r>
      <t xml:space="preserve">En el </t>
    </r>
    <r>
      <rPr>
        <b/>
        <sz val="14"/>
        <rFont val="Century Gothic"/>
        <family val="2"/>
      </rPr>
      <t>SEGUNDO TRIMESTRE</t>
    </r>
    <r>
      <rPr>
        <sz val="14"/>
        <rFont val="Century Gothic"/>
        <family val="2"/>
      </rPr>
      <t xml:space="preserve"> se ha obtenido una </t>
    </r>
  </si>
  <si>
    <r>
      <t xml:space="preserve">En el  </t>
    </r>
    <r>
      <rPr>
        <b/>
        <sz val="14"/>
        <rFont val="Century Gothic"/>
        <family val="2"/>
      </rPr>
      <t xml:space="preserve">PRIMER TRIMESTRE  </t>
    </r>
    <r>
      <rPr>
        <sz val="14"/>
        <rFont val="Century Gothic"/>
        <family val="2"/>
      </rPr>
      <t>se ha obtenido una calificación</t>
    </r>
  </si>
  <si>
    <r>
      <t xml:space="preserve">En el  </t>
    </r>
    <r>
      <rPr>
        <b/>
        <sz val="14"/>
        <rFont val="Century Gothic"/>
        <family val="2"/>
      </rPr>
      <t>TERCER TRIMESTRE</t>
    </r>
    <r>
      <rPr>
        <sz val="14"/>
        <rFont val="Century Gothic"/>
        <family val="2"/>
      </rPr>
      <t xml:space="preserve">  se ha obtenido una calificación </t>
    </r>
  </si>
  <si>
    <r>
      <t xml:space="preserve">En el  </t>
    </r>
    <r>
      <rPr>
        <b/>
        <sz val="14"/>
        <rFont val="Century Gothic"/>
        <family val="2"/>
      </rPr>
      <t>TERCER TRIMESTRE</t>
    </r>
    <r>
      <rPr>
        <sz val="14"/>
        <rFont val="Century Gothic"/>
        <family val="2"/>
      </rPr>
      <t xml:space="preserve">  se ha obtenido una </t>
    </r>
  </si>
  <si>
    <r>
      <t xml:space="preserve">En el  </t>
    </r>
    <r>
      <rPr>
        <b/>
        <sz val="14"/>
        <rFont val="Century Gothic"/>
        <family val="2"/>
      </rPr>
      <t>CUARTO TRIMESTRE</t>
    </r>
    <r>
      <rPr>
        <sz val="14"/>
        <rFont val="Century Gothic"/>
        <family val="2"/>
      </rPr>
      <t xml:space="preserve">  se ha obtenido una calificación </t>
    </r>
  </si>
  <si>
    <r>
      <t xml:space="preserve">En el  </t>
    </r>
    <r>
      <rPr>
        <b/>
        <sz val="14"/>
        <rFont val="Century Gothic"/>
        <family val="2"/>
      </rPr>
      <t>CUARTO TRIMESTRE</t>
    </r>
    <r>
      <rPr>
        <sz val="14"/>
        <rFont val="Century Gothic"/>
        <family val="2"/>
      </rPr>
      <t xml:space="preserve">  se ha obtenido una </t>
    </r>
  </si>
  <si>
    <t>PRODUCCION DE SERVICIOS</t>
  </si>
  <si>
    <t>ATENDIDOS</t>
  </si>
  <si>
    <t>ATENCIONES</t>
  </si>
  <si>
    <t>EXTENSION DE USO</t>
  </si>
  <si>
    <t>INTENSIDAD DE USO</t>
  </si>
  <si>
    <t>TRANSMISIBLES</t>
  </si>
  <si>
    <t>MORBILIDAD</t>
  </si>
  <si>
    <t>Casos Dengue</t>
  </si>
  <si>
    <t>Casos TBC</t>
  </si>
  <si>
    <t>*Considerar casos probables y confirmados</t>
  </si>
  <si>
    <t>N° Tecnólogo Médico (Lab) / Biologo</t>
  </si>
  <si>
    <t>Gestante con Atencion Prenatal que inicia en el primer trimestre de gestación, antes de las 14 semanas de gestacion y recibe el paquete básico que permita la detección oportuna de signos de alarma y factores de riesgo para el manejo adecuado de las complicaciones que puedan presentarse tanto en la madre como en el perinato.</t>
  </si>
  <si>
    <t>Atencion Pre Natal</t>
  </si>
  <si>
    <t>Son todas aquellas actividades basadas en la vigilancia y evaluación integral de la gestante y el feto para lograr el nacimiento de un/a recién nacido/a sano/a, sin deterioro de la salud de la madre. Lo realiza el Médico Gineco Obstetra,Médico Cirujano con competencias y Obstetra, con la participación de todo el equipo multidisciplinario; apartir de los establecimientos de salud nivel I.</t>
  </si>
  <si>
    <t>Gestantes con tres entrevistas de Plan de Parto realizado por personal de salud , la primera entrevista realizado en el servicio materno durante la  Primera Atencion Prenatal , la segunda y tercera entrevista de  Plan parto realizada en domicilio en presencia del familiar y agente comunitario.</t>
  </si>
  <si>
    <t>Plan de Parto</t>
  </si>
  <si>
    <t>Es una herramienta efectiva que busca organizar y movilizar los recursos familiares y comunitarios para la atencion oportuna de la gestante, la puerpera y el recien nacido.El Plan de parto debe consignar la informacion precisa que permita organizar el proceso de atencion de la gestante, relevando los aspectos del parto y la referencia de ser necesaria .El plan facilita la informacion para que la gestantes y sus familias sepan a donde llegar, ante la presencia de señales de parto o de algun signo de alarma.</t>
  </si>
  <si>
    <t>Atencion de Parto Institucional</t>
  </si>
  <si>
    <t>Es la atención que se brinda a la gestante y al recién nacido durante el proceso del parto vaginal, la duración de este proceso varía de una mujer nulípara a una multípara; lo realiza el Médico Gineco Obstetra,Obstetra, Médico Cirujano capacitado, a partir de los establecimientos de salud FONB.En caso de emergencia el parto inminente puede ser asistido por otro personal de salud capacitado, en los establecimientos de salud Nivel I-1, I-2, I-3.</t>
  </si>
  <si>
    <t>Gestante que al momento de atenderse el parto Institucional  tiene mayor o igual a 6 Atenciones Prenatales.</t>
  </si>
  <si>
    <t>Actividad realizada por el personal de salud con el objetivo de desarrollar acciones de captacion acompañamiento y seguimiento a la familia del R.N., evaluar el cuidado esencial neonatal, verificar y fortalecer practicas claves en el cuidado del R.N.(lactancia materna, lavado de manos, higiene, cuidado del cordon umbilical, vacunas, abrio, afecto y acciones a tomar). La primera visita obligatoria a las 48 horas del alta, la segunda visita obligatoria entre la tercera y cuarta semana de vida.</t>
  </si>
  <si>
    <t>Conjunto de actividades desarrolladas por el profesional medico neonatologo, medico pediatra, medico general capacitado o enfermera capacitada; con el objetivo de evaluar el crecimiento y desarrollo, identificar precozmente los signos de peligro en el recien nacido y en la madre verificar el aprendizaje y la practica sobre el cuidado integral del recien nacido (lactancia materna, higiene, cuidado del cordon umbilical, vacunas, abrio, afecto y acciones a seguir) el control se realiza a los establecimientos de salud el 7° y 15° dia despues del nacimiento y el tiempo promedio utilizado por control es de 30 minutos.</t>
  </si>
  <si>
    <t>Niño y niña de 01 mes hasta los 35 meses 29 días.</t>
  </si>
  <si>
    <t>El proceso de inmunizacion implica un conjunto de actividades periodica y sistematica desarrolladas por el profesional de enfermeria con el objetivo de asegurar de manera adecuada y oportuna la vacunacion de la niña y el niño según el cronograma establecido de acuerdo a su edad, a fin de evitar las enfermedades inmunoprevenibles y disminuir la carga de enfermedades prevalentes de la infancia.</t>
  </si>
  <si>
    <t>Se entiende como niño protegido menor de 1 año a los comprendidos entre 1 mes de vida hasta los 11 meses y 29 dias</t>
  </si>
  <si>
    <t>Es una enfermedad crónica caracterizada por un incremento continuo de las cifras de la presión sanguínea en las arterias.</t>
  </si>
  <si>
    <t>Es la persona que mantiene los niveles de glucosa en la sangre, tan cerca de los rangos normales (70-110 mg./dl) como sea posible a cualquier hora del día (tanto en ayunas, como después de las comidas).</t>
  </si>
  <si>
    <t>Es un tratamiento para las células anormales del cuello del útero. Consiste en aplicar un químico muy frío en el cuello del útero para congelar las células. Este procedimiento permite que vuelvan a crecer células nuevas normales en la misma zona.</t>
  </si>
  <si>
    <t>Es un proceso que permite identificar oportunamente  personas en riesgo de presentar problemas y/o trastornos de salud mental, es un procedimiento breve que consiste en la aplicación de una ficha por un personal de salud con competencias, según lo establecido en las guias de prácticas clínicas reconocida por el Ministerio de Salud. se programa al 50% del total de atendidos por todos los servicios.</t>
  </si>
  <si>
    <t xml:space="preserve">Persona que presenta tos y expectoracion por mas de 15 dias que se detecta durante la atencion de salud en cualquier area o servicio del EE.SS asi como poblaciones vulnerables. El sintomatico respiratorio recibe dos atenciones ( el 1° dia se identifica y deja la primera muestra, el segundo dia acude con la segunda muestra)   </t>
  </si>
  <si>
    <t xml:space="preserve">Es toda persona que presenta tos con expectoracion por mas de 15 dias, registrado en el libro de registro de sintomatico respiratorio </t>
  </si>
  <si>
    <t>En todo paciente es obligatorio la observacion directa de la toma de medicamentos por el personal de salud, con lo que se tiene mayor posibilidad de curacion y menos riesgo de resistencia y fracaso al tratamiento y la admisntracion sera supervisado en el 100% de casos siendo, siendo responsabilidad del personal de salud de los establecimientos</t>
  </si>
  <si>
    <t>El manejo sindrómico se basa en la identificación y tratamiento de una Infección de Transmision Sexual  como es el signo y sintoma que motiva la búsqueda de atención en un establecimiento de salud.</t>
  </si>
  <si>
    <t>Es el pasaje del Virus de Inmuno Deficiencia Humana de la madre al niño durante la gestación, parto o lactancia materna.</t>
  </si>
  <si>
    <t>Es el pasaje del Treponema Pallidum  de la madre al niño durante la gestación.</t>
  </si>
  <si>
    <t>Es la adminstracion de tratamiento farmacologico supervisado en base a sales antimoniales pentavalentes como primera opcion, para la leishmaniosis cutanea el tratamiento tiene una duracion  de 20 dias y leishmaniosis mucocutanea tiene una duracion de 28 dias, en ambas formas la dosis es 20 mg de antimonio pentavalente base/kg de peso/dia</t>
  </si>
  <si>
    <t>Es un ejercicio de ejecucion previamnete planeadas, que presentan situaciones de desastre semejantes a la realidad y que  a traves de la movilizacion de recursos y personal, permite evaluar la capacidad de respuesta con los recursos existentes al enfrentar una respuesta con los recursos existentes al enfrentar una supuesta emergencia o desastre</t>
  </si>
  <si>
    <t xml:space="preserve">Es el número de casos de Infeccion del tracto Urinario en la gestante que reciben Atención por consulta externa o emergencia y puede  provocar complicaciones maternas y perinatales.  </t>
  </si>
  <si>
    <t>Sintomático respiratorio identificado con diagnostico oportuno de tuberculosis</t>
  </si>
  <si>
    <t>Eficacia  de tratamiento</t>
  </si>
  <si>
    <t>ITS  con manejo sindromico</t>
  </si>
  <si>
    <t>Transmisión vertical  de la sifilis</t>
  </si>
  <si>
    <t xml:space="preserve"> Paciente con leishmaniosis con tratamiento completo</t>
  </si>
  <si>
    <t xml:space="preserve">Simulacro </t>
  </si>
  <si>
    <t xml:space="preserve">Niños con CRED completo </t>
  </si>
  <si>
    <t>Niño protegido</t>
  </si>
  <si>
    <t xml:space="preserve">Niño menor de 1 año </t>
  </si>
  <si>
    <t>Hipertension arterial</t>
  </si>
  <si>
    <t>Paciente diabetico controlado</t>
  </si>
  <si>
    <t>Crioterapia</t>
  </si>
  <si>
    <t xml:space="preserve">Tamizaje en salud mental </t>
  </si>
  <si>
    <t>Mayor de 15 años sintomatico respiratorio examinado</t>
  </si>
  <si>
    <t>Niño CRED &lt; 03 año</t>
  </si>
  <si>
    <t>Niño CRED &lt; 01 año</t>
  </si>
  <si>
    <t>Localidad con Bajo Riesgo entomológico</t>
  </si>
  <si>
    <t>Gestante con 6 atenciones Pre Natales, de aproximadamente 25 minutos cada una:
- 1ra Atención Prenatal: antes de las 14 semanas de gestación.
- 2da Atención Prenatal: entre las 14 a 21 semanas de gestación.
- 3ra Atención Prenatal: entre las 22 a 24 semanas de gestación.
- 4ta Atención Prenatal: entre las 25 a 32 semanas de gestación.
- 5ta Atención Prenatal: entre las 33 a 36 semanas de gestación.
- 6ta Atención Prenatal: entre las 37 a 40 semanas de gestación</t>
  </si>
  <si>
    <t>Transmisión vertical  del VIH</t>
  </si>
  <si>
    <t>Control realizado en las viviendas de una localidad. Se aplica en los recipientes de agua que se encuentran dentro y fuera de una vivienda. Se denomina también “control focal” o “control larvario”. En esta actividad debe aplicarse tanto las medidas de control físico como de control químico para eliminar todos los criaderos posibles. 
El tratamiento focal se realiza de manera trimestral, es decir 4 veces al año. La cobertura debe ser al 100% de las viviendas en una localidad. Se considera aceptable hasta un máximo de 5% de viviendas no inspeccionadas (cerradas, renuentes y deshabitadas).</t>
  </si>
  <si>
    <t>Vivienda inspeccionada con tratamiento focal. Realizada a través de la visita domiciliaria  trimestral, para la inspección de los criaderos positivos y/o potenciales de Aedes aegypti, en el intra y peri domicilio, la aplicación de control físico (destrucción y/o protección de criaderos) y químico con larvicida, brindando educación sanitaria y acciones demostrativas de limpieza, cepillado, tapado de recipiente, así como la conservación y mantenimiento del larvicida.</t>
  </si>
  <si>
    <t xml:space="preserve">Vigilancia entomológica que se realiza en las localidades que actualmente se reportan positivas a la presencia del Aedes aegypti, a través de inspecciones domiciliarias mensuales, al 10% del total de las viviendas de la localidad, que van a permitir determinar localidades con bajos índices de infestación aédica en viviendas y su variación en el tiempo, mediante la búsqueda activa de larvas del vector Aedes aegypti. 
</t>
  </si>
  <si>
    <t>LAMAS</t>
  </si>
  <si>
    <t>EL DORADO</t>
  </si>
  <si>
    <t>PICOTA</t>
  </si>
  <si>
    <t>MOYOBAMBA</t>
  </si>
  <si>
    <t>RIOJA</t>
  </si>
  <si>
    <t>UE 400</t>
  </si>
  <si>
    <t>UE 401</t>
  </si>
  <si>
    <t>MARISCAL CACERES</t>
  </si>
  <si>
    <t>HUALLAGA</t>
  </si>
  <si>
    <t>BELLAVISTA</t>
  </si>
  <si>
    <t>TOCACHE</t>
  </si>
  <si>
    <t>UE 403</t>
  </si>
  <si>
    <t>UE 402</t>
  </si>
  <si>
    <t>POBLACION 2013</t>
  </si>
  <si>
    <t>MICROREDES</t>
  </si>
  <si>
    <t>ESTABLECIMIENTOS</t>
  </si>
  <si>
    <t>RECURSOS HUMANOS</t>
  </si>
  <si>
    <t>DIRECCION REGIONAL DE SALUD SAN MARTIN</t>
  </si>
  <si>
    <t>RECURSOS FINANCIEROS</t>
  </si>
  <si>
    <t>MORTALIDAD 2012</t>
  </si>
  <si>
    <t>MORBILIDAD 2012</t>
  </si>
  <si>
    <t>MORTALIDAD 2013</t>
  </si>
  <si>
    <t>MORBILIDAD 2013</t>
  </si>
  <si>
    <t>PRODUCION DE SERVICIOS</t>
  </si>
  <si>
    <t>POBLACION ESPECIFICA</t>
  </si>
  <si>
    <t>POBLACION ESTIMADA</t>
  </si>
  <si>
    <t>TBC</t>
  </si>
  <si>
    <t>MM</t>
  </si>
  <si>
    <t>MN</t>
  </si>
  <si>
    <t>ATENDIOS</t>
  </si>
  <si>
    <t>|</t>
  </si>
  <si>
    <t>RAZON DE MUERTE MATERNA</t>
  </si>
  <si>
    <t>N° de Muertes Maternas</t>
  </si>
  <si>
    <t xml:space="preserve">N° nacidos Vivos x  100,000 </t>
  </si>
  <si>
    <t>TASA DE MUERTE NEONATAL</t>
  </si>
  <si>
    <t>N° de Muertes Neonatales</t>
  </si>
  <si>
    <t xml:space="preserve">N° nacidos Vivos x 1,000 </t>
  </si>
  <si>
    <t>N° de Muertes por Dengue</t>
  </si>
  <si>
    <t>Nº de casos de Dengue grave x 100</t>
  </si>
  <si>
    <t>Ficha de Notificacion Muerte materna</t>
  </si>
  <si>
    <t>Ficha de Notificacion Muerte Neonatal</t>
  </si>
  <si>
    <t>NOTI</t>
  </si>
  <si>
    <t>&lt;=</t>
  </si>
  <si>
    <t>4 a 5</t>
  </si>
  <si>
    <t>&gt;=</t>
  </si>
  <si>
    <t>&gt;2</t>
  </si>
  <si>
    <t>verde</t>
  </si>
  <si>
    <t>&lt;2</t>
  </si>
  <si>
    <t>rojo</t>
  </si>
  <si>
    <t>amarillo</t>
  </si>
  <si>
    <t>PORCENTAJE DE MUJERES EN EDAD FERTIL PROTEGIDAS CON ALGUN  MAC</t>
  </si>
  <si>
    <t>Nº de Parejas Protegidas con MAC</t>
  </si>
  <si>
    <t>COBERTURA DE PARTO INSTITUCIONAL</t>
  </si>
  <si>
    <t>COBERTURA DE CRED EN MENORES DE 1 AÑOS.</t>
  </si>
  <si>
    <t>Niños Controldados CRED Menores de 1 años (Por profesional y tecnico)</t>
  </si>
  <si>
    <t>N° de niños menores de 1 año protegidos  con vacuna completa (colocar el N° menor de Neumococo2 o Rotavirus2y pentavaente3, apo3).</t>
  </si>
  <si>
    <t>N° de niños protegidos con vacuna completa ( colocar el N° menor SPR2, Neumo3).</t>
  </si>
  <si>
    <t xml:space="preserve">Nº  de personas de 18 años a mas  con diabetes Mellitus tipo 2 controlados </t>
  </si>
  <si>
    <t>Nº de personas de 18  y mas años con diagnostico de Hipertension Arterial Controlados</t>
  </si>
  <si>
    <t xml:space="preserve">Nº de sintomatico respiratorio bacteriologicamente positivo </t>
  </si>
  <si>
    <t>Nº de sintomatico respiratorio examinado  x 100</t>
  </si>
  <si>
    <t>INDICADORES DE GESTANTE, PUERPERA Y MEF</t>
  </si>
  <si>
    <t>MUJER</t>
  </si>
  <si>
    <t xml:space="preserve"> NO TRANSMISIBLES</t>
  </si>
  <si>
    <t>Numero de establecimientos que cuentan con medicamentos esenciales de mayor rotacion</t>
  </si>
  <si>
    <t xml:space="preserve">PORCENTAJE DE REFERENCIA POR EMERGENCIA SEGÚN PRIORIDAD   I y II </t>
  </si>
  <si>
    <t>numero de referencias que ciumplen los criterios de prioridad I y II según capacidad resolutiva</t>
  </si>
  <si>
    <t>toatal de referencias por emergencia según prioridad I y II  x 100</t>
  </si>
  <si>
    <t>INDICADOR DE MEDICAMENTOS Y EQUIPAMIENTO PARA DX. PACIENTES</t>
  </si>
  <si>
    <t>79 a 50%</t>
  </si>
  <si>
    <t>69 a 50%</t>
  </si>
  <si>
    <t>79 a 70%</t>
  </si>
  <si>
    <t>89 a 80%</t>
  </si>
  <si>
    <t>69 a 60%</t>
  </si>
  <si>
    <t>94 a 89%</t>
  </si>
  <si>
    <t>INDICADORES DE IMPACTO</t>
  </si>
  <si>
    <t>2 a 5</t>
  </si>
  <si>
    <t>10 a 6</t>
  </si>
  <si>
    <t>regular</t>
  </si>
  <si>
    <t>adecuado</t>
  </si>
  <si>
    <t>deficiente</t>
  </si>
  <si>
    <t>1 a 4</t>
  </si>
  <si>
    <t>GESTANTE ATENDIDA PRECOZMENTE</t>
  </si>
  <si>
    <t>GESTANTE CON PAQUETE COMPLETO</t>
  </si>
  <si>
    <t>PORCENTAJE DE MUJERES DE 25 A 64 AÑOS QUE SE HAN REALIZADO TAMIZAJE DE PAP O IVVA</t>
  </si>
  <si>
    <t>RECIEN NACIDO CON VACUNAS COMPLETAS</t>
  </si>
  <si>
    <t>NIÑO MENOR DE 1 AÑO CON VACUNAS COMPLETAS</t>
  </si>
  <si>
    <t>PORCENTAJE DE NIÑO MENOR DE 3 AÑOS CON DIAGNOSTICO DE ANEMIA QUE SE HAN RECUPERADO</t>
  </si>
  <si>
    <t>ADOLESCENTE CON PAQUETE COMPLETO</t>
  </si>
  <si>
    <t>OTRAS ETAPAS DE VIDA</t>
  </si>
  <si>
    <t>ADOLESCENTE, ADULTO Y ADULTO MAYOR</t>
  </si>
  <si>
    <t>ADULTO CON PAQUETE DE ATENCION INTEGRAL</t>
  </si>
  <si>
    <t>ADULTO MAYOR CON PAQUETE DE ATENCION INTEGRAL</t>
  </si>
  <si>
    <t>PORCENTAJE DE PERSONAS DE 18 AÑOS A MÁS CON DIAGNOSTICO DE HIPERTENSION ARTERIAL NO COMPLICADOS CONTROLADOS</t>
  </si>
  <si>
    <t>PORCENTAJE DE PERSONAS DE 18 AÑOS A MÁS CON DIAGNOSTICO DE DIABETES MELLITUS TIPO 2 NO COMPLICADOS CONTROLADOS</t>
  </si>
  <si>
    <t>PORCENTAJE DE NIÑOS Y NIÑAS DE 3 A 11 AÑOS DE EDAD CON ALTA BASICA ODONTOLOGICA</t>
  </si>
  <si>
    <t>TAMIZAJE DE CATARATAS MEDIANTE EXAMEN DE AGUDEZA VISUAL EN PERSONAS DE 50 AÑOS A MAS</t>
  </si>
  <si>
    <t xml:space="preserve">PORCENTAJE DE SINTOMATICOS RESPIRATORIOS MAYOR A 15 AÑOS CON BACILOSCOPIA </t>
  </si>
  <si>
    <t>PERSONAS CON TRASTORNOS MENTALES Y PROBLEMAS PSICOSOCIALES DETECTADAS</t>
  </si>
  <si>
    <t>VIVIENDA PROTEGIDA CON TRATAMIENTO FOCAL</t>
  </si>
  <si>
    <t>PORCENTAJE DE DISPONIBILIDAD DE MEDICAMENTOS ESENCIALES POR EE.SS</t>
  </si>
  <si>
    <t>TASA DE LETALIDAD POR DENGUE</t>
  </si>
  <si>
    <t>INDICADORES CRED, INMUNIZACIONES, Y PROMOCION DE LA SALUD</t>
  </si>
  <si>
    <t>INDICADORES DE VALORACION CLINICA, DIABETES, HIPERTENSION, SALUD BUCAL, SALUD OCULAR Y SALUD MENTAL</t>
  </si>
  <si>
    <t>INDICADORES DE TUBERCULOSIS Y VIH Y TRATAMIENTO FOCAL</t>
  </si>
  <si>
    <t>ASEGURAMIENTO</t>
  </si>
  <si>
    <t>TASAS DE MORTALIDAD</t>
  </si>
  <si>
    <t>Poblacion de Niños menores de 1 año del Padron Nominal</t>
  </si>
  <si>
    <t>Poblacion MEF (40% MEF de 15 a 49 años programadas)</t>
  </si>
  <si>
    <t>Poblacion de Mujeres de 25 a 64 años Programadas</t>
  </si>
  <si>
    <t>N° de Mujeres de 25 a 64 años con Tamizaje de Papanicolao o IVVA</t>
  </si>
  <si>
    <t>N° de Partos Institucionales</t>
  </si>
  <si>
    <t>HIS / Poblacion Programada</t>
  </si>
  <si>
    <t>HIS / Padron Nominal</t>
  </si>
  <si>
    <t>N° Recien Nacidos protegidos  con vacuna completa (BCG y HvB).</t>
  </si>
  <si>
    <t>Poblacion de Niños de 1 año del Padron Nominal</t>
  </si>
  <si>
    <t>Niños menores de 3 años con Diagnostico de Anemia Recuperados</t>
  </si>
  <si>
    <t>Niños menores de 3 años con Diagnostico de Anemia</t>
  </si>
  <si>
    <t>TELESALUD</t>
  </si>
  <si>
    <t>Adulto Atendidos en el Establecimiento</t>
  </si>
  <si>
    <t>Adulto Mayor Atendidos en el Establecimiento</t>
  </si>
  <si>
    <t>COBERURA DE TELEINTERCONSULTAS</t>
  </si>
  <si>
    <t>Atendidos por Teleinterconsulta (Consultor y Consultante)</t>
  </si>
  <si>
    <t>N° inspecciones de viviendas en las que se realizó tratamiento focal en el trimestre</t>
  </si>
  <si>
    <t>N° inspecciones de viviendas programadas para tratamiento focal  en el trimestre</t>
  </si>
  <si>
    <t>Adolescente con Paquete Completo</t>
  </si>
  <si>
    <t>Adolescentes Atendidos en el Establecimiento (I-3, I-4)</t>
  </si>
  <si>
    <t>Adulto con Paquete de Atencion Integral (Plan Concluido)</t>
  </si>
  <si>
    <t>Adulto Mayor con Paquete de Atencion Integral (Plan Concluido)</t>
  </si>
  <si>
    <t>85% de la Poblacion de Niños Menores de 1 año del Padron Nominal</t>
  </si>
  <si>
    <t>CNV / Padron Nominal</t>
  </si>
  <si>
    <t>HIS / Poblacion INEI</t>
  </si>
  <si>
    <t>HIS / CNV</t>
  </si>
  <si>
    <t>N° de personas tamizadas por Salud Mental (depresion, ansiedad, consumo de alcohol y psicosis) y/o problemas psicosociales (violencia familiar, maltrato infantil y violencia social) de 3 a 17 años</t>
  </si>
  <si>
    <t>Número de personas detectadas por problemas psicosociales tienen diagnóstico y tratamiento.</t>
  </si>
  <si>
    <t>Poblacion de 3 a 17 años</t>
  </si>
  <si>
    <t>N° de Atendido con  diagnostico de diabettes</t>
  </si>
  <si>
    <t>N° de Atendido con  diagnostico de Hipertension</t>
  </si>
  <si>
    <t>10% de la Poblacion INEI de 50 a mas años</t>
  </si>
  <si>
    <t>Niñas y niños de 3 a 11 años con alta básica odontológica</t>
  </si>
  <si>
    <t>Niñas y niños de 3 a 11 años atendidos y con evaluación oral completa</t>
  </si>
  <si>
    <t>La información trimestral comprende los meses de enero a junio del año de Evaluación</t>
  </si>
  <si>
    <t>X</t>
  </si>
  <si>
    <t>N° de Gestantes con 1° Atención Prenatal en el I Trimestre antes de las 14 semanas de gestación, que tengan sus 4 examenes auxiliares, Hemoglobina, VIH, SIFILIS, Examen de Orina</t>
  </si>
  <si>
    <t>POBLACIÓN INEI</t>
  </si>
  <si>
    <r>
      <t xml:space="preserve">En el </t>
    </r>
    <r>
      <rPr>
        <b/>
        <sz val="14"/>
        <rFont val="Century Gothic"/>
        <family val="2"/>
      </rPr>
      <t xml:space="preserve">AÑO 2023,   </t>
    </r>
    <r>
      <rPr>
        <sz val="14"/>
        <rFont val="Century Gothic"/>
        <family val="2"/>
      </rPr>
      <t xml:space="preserve"> la Red ha obtenido una calificación </t>
    </r>
  </si>
  <si>
    <t>(*1) Priorizar los dos logros de Gestión y cuatro logros sanitarios más importantes durante el 2023</t>
  </si>
  <si>
    <t>(*3) Priorizar los dos desafios de Gestión y cuatro desafios sanitarios más importantes para el 2023</t>
  </si>
  <si>
    <t>% HOMBRES QUE TIENEN SEXO CON HOMBRES (HSH) QUE SON TAMIZADOS PARA VIH DE UNA POBLACION ESTIMADA</t>
  </si>
  <si>
    <r>
      <t xml:space="preserve">N° de HSH con tamizaje de VIH </t>
    </r>
    <r>
      <rPr>
        <b/>
        <sz val="10"/>
        <color theme="1"/>
        <rFont val="Arial"/>
        <family val="2"/>
      </rPr>
      <t>x 100</t>
    </r>
  </si>
  <si>
    <t xml:space="preserve">Total de HSH estimados </t>
  </si>
  <si>
    <t>7 a 9,9%</t>
  </si>
  <si>
    <t>NIÑO DE 12 MESES CON VACUNA COMPLETAS</t>
  </si>
  <si>
    <t>PORCENTAJE DE POBLACION ASEGURADA</t>
  </si>
  <si>
    <t xml:space="preserve">PORCENTAJE DE FUAS OBSERVADAS </t>
  </si>
  <si>
    <t>SISMED</t>
  </si>
  <si>
    <t>REFCON</t>
  </si>
  <si>
    <t>SIS</t>
  </si>
  <si>
    <t>Tamizaje de agudeza visual en personas de 50 años a mas</t>
  </si>
  <si>
    <t>Red</t>
  </si>
  <si>
    <t>Microred</t>
  </si>
  <si>
    <t>ALTO BIAVO</t>
  </si>
  <si>
    <t>BAJO BIAVO</t>
  </si>
  <si>
    <t>AGUA BLANCA</t>
  </si>
  <si>
    <t>SAN JOSE DE SISA</t>
  </si>
  <si>
    <t>SACANCHE</t>
  </si>
  <si>
    <t>SAPOSOA</t>
  </si>
  <si>
    <t>BARRANQUITA</t>
  </si>
  <si>
    <t>CAYNARACHI</t>
  </si>
  <si>
    <t>CUÑUMBUQUI</t>
  </si>
  <si>
    <t>HOSPITAL LAMAS</t>
  </si>
  <si>
    <t>PACAYZAPA</t>
  </si>
  <si>
    <t>TABALOSOS</t>
  </si>
  <si>
    <t>CAMPANILLA</t>
  </si>
  <si>
    <t>COSTA RICA</t>
  </si>
  <si>
    <t>HUICUNGO</t>
  </si>
  <si>
    <t>JUANJUI</t>
  </si>
  <si>
    <t>ALONSO DE ALVARADO ROQUE</t>
  </si>
  <si>
    <t>CALZADA</t>
  </si>
  <si>
    <t>JERILLO</t>
  </si>
  <si>
    <t>LLUILLUCUCHA</t>
  </si>
  <si>
    <t>PUEBLO LIBRE</t>
  </si>
  <si>
    <t>SORITOR</t>
  </si>
  <si>
    <t>YANTALO</t>
  </si>
  <si>
    <t>LEONCIO PRADO</t>
  </si>
  <si>
    <t>PUCACACA</t>
  </si>
  <si>
    <t>BAJO NARANJILLO</t>
  </si>
  <si>
    <t>SAN FERNANDO</t>
  </si>
  <si>
    <t>SAN JUAN DE RIO SORITOR</t>
  </si>
  <si>
    <t>SEGUNDA JERUSALEN</t>
  </si>
  <si>
    <t>YURAYACU</t>
  </si>
  <si>
    <t>BANDA DE SHILCAYO</t>
  </si>
  <si>
    <t>CHAZUTA</t>
  </si>
  <si>
    <t>HUIMBAYOC</t>
  </si>
  <si>
    <t>JUAN GUERRA</t>
  </si>
  <si>
    <t>MORALES</t>
  </si>
  <si>
    <t>PAPAPLAYA</t>
  </si>
  <si>
    <t>SAUCE</t>
  </si>
  <si>
    <t>TARAPOTO</t>
  </si>
  <si>
    <t>NUEVO PROGRESO</t>
  </si>
  <si>
    <t>POLVORA</t>
  </si>
  <si>
    <t>UCHIZA</t>
  </si>
  <si>
    <t>0a</t>
  </si>
  <si>
    <t>1a</t>
  </si>
  <si>
    <t>3_17a.</t>
  </si>
  <si>
    <t>MEF_40%.</t>
  </si>
  <si>
    <t>Menor_1a_85%.</t>
  </si>
  <si>
    <t>Pob_&gt;49a_10%.</t>
  </si>
  <si>
    <t>Numero de Poblacion INEI</t>
  </si>
  <si>
    <t>Numero de Poblacion Asegurada</t>
  </si>
  <si>
    <t>Numero de FUAs digitadas por Aplicativo (ARFSIS, ARFSIS WEB, SIGEPS)</t>
  </si>
  <si>
    <t>Numero de FUAs observadas publicadas en la pagina del SIS (MUNDO IPRESS)</t>
  </si>
  <si>
    <t>Poblacion INEI / SIS</t>
  </si>
  <si>
    <t>ENE</t>
  </si>
  <si>
    <t>FEB</t>
  </si>
  <si>
    <t>MAR</t>
  </si>
  <si>
    <t>ABR</t>
  </si>
  <si>
    <t>MAY</t>
  </si>
  <si>
    <t>JUN</t>
  </si>
  <si>
    <t xml:space="preserve">N° de Gestantes con 1° Atención Prenatal en el I Trimestre </t>
  </si>
  <si>
    <r>
      <t xml:space="preserve">N° de HSH con tamizaje de VIH </t>
    </r>
    <r>
      <rPr>
        <b/>
        <sz val="9"/>
        <color theme="1"/>
        <rFont val="Arial"/>
        <family val="2"/>
      </rPr>
      <t>x 100</t>
    </r>
  </si>
  <si>
    <t>REDES DE SALUD</t>
  </si>
  <si>
    <t>MICRORED DE SALUD</t>
  </si>
  <si>
    <t>0 AÑOS</t>
  </si>
  <si>
    <t>I TRIM</t>
  </si>
  <si>
    <t>II TRIM</t>
  </si>
  <si>
    <t>III TRIM</t>
  </si>
  <si>
    <t>IV TRIM</t>
  </si>
  <si>
    <t>1 AÑO</t>
  </si>
  <si>
    <t>DORADO</t>
  </si>
  <si>
    <t>MCACERES</t>
  </si>
  <si>
    <t>SANMARTIN</t>
  </si>
  <si>
    <t>F_25_64a.</t>
  </si>
  <si>
    <t>POB_FEM_25_64a</t>
  </si>
  <si>
    <t>3 a 17 AÑOS</t>
  </si>
  <si>
    <t>SAN PABLO-CONSUELO</t>
  </si>
  <si>
    <t>SAN MARTIN ALAO</t>
  </si>
  <si>
    <t>JEPELACIO</t>
  </si>
  <si>
    <t>NARANJOS</t>
  </si>
  <si>
    <t>NUEVA CAJAMARCA</t>
  </si>
  <si>
    <t>NUEVA RIOJA</t>
  </si>
  <si>
    <t>NACIDOS VIVOS</t>
  </si>
  <si>
    <t>CASOS DENGUE</t>
  </si>
  <si>
    <t>PARTOS INSTITUCIONALES</t>
  </si>
  <si>
    <t>Niños &lt;3 años con Anemia</t>
  </si>
  <si>
    <t>Adolescentes</t>
  </si>
  <si>
    <t>Adulto</t>
  </si>
  <si>
    <t>Adulto_Mayor</t>
  </si>
  <si>
    <t>Diabetes</t>
  </si>
  <si>
    <t>Hipertensión</t>
  </si>
  <si>
    <t>Eva_Odontologica_3_11a</t>
  </si>
  <si>
    <t>Per_Tamiz_SM</t>
  </si>
  <si>
    <t>Total</t>
  </si>
  <si>
    <t>Atenciones de las Teleinterconsultas en el Establecimiento</t>
  </si>
  <si>
    <t>VIVIENDAS FOCAL</t>
  </si>
  <si>
    <t>ESTABLECIMIENTOS - MEDICAMENTOS</t>
  </si>
  <si>
    <t>ATENCIONES DE TELEINTERCONSULTAS</t>
  </si>
  <si>
    <t>HSH ESTIMADO</t>
  </si>
  <si>
    <t>SINTOMATICOS RESPIRATORIOS</t>
  </si>
  <si>
    <t>REFERENCIAS</t>
  </si>
  <si>
    <t>POB INEI</t>
  </si>
  <si>
    <t>FUAS</t>
  </si>
  <si>
    <t>Mide el porcentaje la disponibilidad adecuada de Medicamentos Esenciales (ME) mayor o igual a 2 meses incluidos en el Petitorio nacional de Medicamentos Esenciales (PNUME) vigente que gestiona una EE.SS, de acuerdo a los Medicamentos Esenciales que maneja</t>
  </si>
  <si>
    <t>Número de Medicamentos Esenciales en la EE.SS en condición de normostock y sobrestock/Numero de Medicamentos Esenciales que maneja la EE.SS 
en condición de normostock, sobrestock, substock y 
desabastecido * 100</t>
  </si>
  <si>
    <t>PERSONAS TAMIZADAS CON TRASTORNOS MENTALES Y PROBLEMAS PSICOSOCIALES</t>
  </si>
  <si>
    <t xml:space="preserve">Número de personas detectadas por problemas psicosociales tienen diagnóstico </t>
  </si>
  <si>
    <t>Número de personas con tamizadas por Salud Mental</t>
  </si>
  <si>
    <t>95 a 80%</t>
  </si>
  <si>
    <t>37 a 35%</t>
  </si>
  <si>
    <t>50 a 45%</t>
  </si>
  <si>
    <t>29 a 20%</t>
  </si>
  <si>
    <t>47 a 45%</t>
  </si>
  <si>
    <t>POB_2023</t>
  </si>
  <si>
    <t>SALDO EXTENSION DE USO</t>
  </si>
  <si>
    <t>REGULAR</t>
  </si>
  <si>
    <t>ATENDIDOS 2022</t>
  </si>
  <si>
    <t>ATENCIONES 2022</t>
  </si>
  <si>
    <t>ATENDIDOS 2023</t>
  </si>
  <si>
    <t>EXTENSION DE USO 2023</t>
  </si>
  <si>
    <t>INTENSIDAD DE USO 2023</t>
  </si>
  <si>
    <t>ATENCIONES 2023</t>
  </si>
  <si>
    <t>MICRORED</t>
  </si>
  <si>
    <t>BELLAVISTA.</t>
  </si>
  <si>
    <t>EL DORADO.</t>
  </si>
  <si>
    <t>LAMAS.</t>
  </si>
  <si>
    <t>MARISCAL CACERES.</t>
  </si>
  <si>
    <t>PICOTA.</t>
  </si>
  <si>
    <t>RIOJA.</t>
  </si>
  <si>
    <t>SAN MARTIN.</t>
  </si>
  <si>
    <t>TOCACHE.</t>
  </si>
  <si>
    <t>HUALLAGA.</t>
  </si>
  <si>
    <t>I SEM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</si>
</sst>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0"/>
    <numFmt numFmtId="165" formatCode="0.0%"/>
    <numFmt numFmtId="166" formatCode="00000"/>
  </numFmts>
  <fonts count="107">
    <font>
      <sz val="10"/>
      <name val="Arial"/>
    </font>
    <font>
      <sz val="10"/>
      <name val="Arial"/>
      <family val="2"/>
    </font>
    <font>
      <b/>
      <sz val="10"/>
      <name val="Arial"/>
      <family val="2"/>
    </font>
    <font>
      <sz val="10"/>
      <name val="Arial Narrow"/>
      <family val="2"/>
    </font>
    <font>
      <sz val="8"/>
      <name val="Arial"/>
      <family val="2"/>
    </font>
    <font>
      <sz val="10"/>
      <name val="Arial"/>
      <family val="2"/>
    </font>
    <font>
      <sz val="8"/>
      <name val="Arial Narrow"/>
      <family val="2"/>
    </font>
    <font>
      <b/>
      <u/>
      <sz val="14"/>
      <name val="Arial"/>
      <family val="2"/>
    </font>
    <font>
      <b/>
      <sz val="9"/>
      <name val="Arial"/>
      <family val="2"/>
    </font>
    <font>
      <b/>
      <sz val="14"/>
      <name val="Arial"/>
      <family val="2"/>
    </font>
    <font>
      <sz val="11"/>
      <name val="Arial"/>
      <family val="2"/>
    </font>
    <font>
      <b/>
      <sz val="11"/>
      <name val="Arial"/>
      <family val="2"/>
    </font>
    <font>
      <b/>
      <sz val="12"/>
      <name val="Arial"/>
      <family val="2"/>
    </font>
    <font>
      <sz val="11"/>
      <name val="Arial"/>
      <family val="2"/>
    </font>
    <font>
      <b/>
      <i/>
      <sz val="12"/>
      <name val="Arial"/>
      <family val="2"/>
    </font>
    <font>
      <sz val="10"/>
      <color indexed="41"/>
      <name val="Arial"/>
      <family val="2"/>
    </font>
    <font>
      <b/>
      <u/>
      <sz val="14"/>
      <color indexed="41"/>
      <name val="Arial"/>
      <family val="2"/>
    </font>
    <font>
      <b/>
      <i/>
      <sz val="8"/>
      <name val="Arial"/>
      <family val="2"/>
    </font>
    <font>
      <b/>
      <sz val="11"/>
      <name val="Century Gothic"/>
      <family val="2"/>
    </font>
    <font>
      <b/>
      <sz val="16"/>
      <name val="Century Gothic"/>
      <family val="2"/>
    </font>
    <font>
      <sz val="11"/>
      <name val="Century Gothic"/>
      <family val="2"/>
    </font>
    <font>
      <b/>
      <i/>
      <sz val="14"/>
      <name val="Arial"/>
      <family val="2"/>
    </font>
    <font>
      <i/>
      <sz val="8"/>
      <name val="Arial"/>
      <family val="2"/>
    </font>
    <font>
      <b/>
      <sz val="10"/>
      <name val="Times New Roman"/>
      <family val="1"/>
    </font>
    <font>
      <sz val="14"/>
      <name val="Arial"/>
      <family val="2"/>
    </font>
    <font>
      <b/>
      <i/>
      <sz val="16"/>
      <name val="Arial"/>
      <family val="2"/>
    </font>
    <font>
      <b/>
      <sz val="26"/>
      <name val="Aharoni"/>
    </font>
    <font>
      <b/>
      <sz val="11"/>
      <name val="Arial Narrow"/>
      <family val="2"/>
    </font>
    <font>
      <sz val="11"/>
      <name val="Arial Narrow"/>
      <family val="2"/>
    </font>
    <font>
      <b/>
      <i/>
      <sz val="10"/>
      <name val="Arial"/>
      <family val="2"/>
    </font>
    <font>
      <i/>
      <sz val="10"/>
      <name val="Arial"/>
      <family val="2"/>
    </font>
    <font>
      <b/>
      <sz val="18"/>
      <name val="Broadway"/>
      <family val="5"/>
    </font>
    <font>
      <b/>
      <sz val="16"/>
      <color indexed="9"/>
      <name val="Aharoni"/>
    </font>
    <font>
      <b/>
      <sz val="18"/>
      <color indexed="9"/>
      <name val="Aharoni"/>
    </font>
    <font>
      <b/>
      <sz val="16"/>
      <name val="Aharoni"/>
    </font>
    <font>
      <sz val="13"/>
      <name val="Century Gothic"/>
      <family val="2"/>
    </font>
    <font>
      <sz val="14"/>
      <name val="Century Gothic"/>
      <family val="2"/>
    </font>
    <font>
      <sz val="12"/>
      <name val="Century Gothic"/>
      <family val="2"/>
    </font>
    <font>
      <sz val="13.5"/>
      <name val="Century Gothic"/>
      <family val="2"/>
    </font>
    <font>
      <b/>
      <sz val="13.5"/>
      <name val="Century Gothic"/>
      <family val="2"/>
    </font>
    <font>
      <sz val="12"/>
      <name val="Arial Narrow"/>
      <family val="2"/>
    </font>
    <font>
      <sz val="14"/>
      <name val="Arial Narrow"/>
      <family val="2"/>
    </font>
    <font>
      <b/>
      <sz val="16"/>
      <name val="Arial"/>
      <family val="2"/>
    </font>
    <font>
      <b/>
      <sz val="14"/>
      <name val="Century Gothic"/>
      <family val="2"/>
    </font>
    <font>
      <b/>
      <sz val="14"/>
      <name val="Aharoni"/>
    </font>
    <font>
      <sz val="9"/>
      <color indexed="81"/>
      <name val="Tahoma"/>
      <family val="2"/>
    </font>
    <font>
      <sz val="9"/>
      <name val="Arial"/>
      <family val="2"/>
    </font>
    <font>
      <b/>
      <sz val="9"/>
      <color indexed="81"/>
      <name val="Tahoma"/>
      <family val="2"/>
    </font>
    <font>
      <b/>
      <sz val="11"/>
      <color rgb="FFFF0000"/>
      <name val="Century Gothic"/>
      <family val="2"/>
    </font>
    <font>
      <b/>
      <sz val="11"/>
      <color theme="0"/>
      <name val="Century Gothic"/>
      <family val="2"/>
    </font>
    <font>
      <sz val="10"/>
      <color theme="0"/>
      <name val="Arial"/>
      <family val="2"/>
    </font>
    <font>
      <b/>
      <sz val="22"/>
      <color theme="0"/>
      <name val="Arial"/>
      <family val="2"/>
    </font>
    <font>
      <b/>
      <sz val="14"/>
      <color theme="0"/>
      <name val="Aharoni"/>
    </font>
    <font>
      <sz val="10"/>
      <color rgb="FFFF0000"/>
      <name val="Arial"/>
      <family val="2"/>
    </font>
    <font>
      <sz val="18"/>
      <name val="Arial"/>
      <family val="2"/>
    </font>
    <font>
      <b/>
      <sz val="11"/>
      <color rgb="FFFFFFCC"/>
      <name val="Arial Narrow"/>
      <family val="2"/>
    </font>
    <font>
      <b/>
      <sz val="14"/>
      <color indexed="9"/>
      <name val="Cambria"/>
      <family val="1"/>
      <scheme val="major"/>
    </font>
    <font>
      <sz val="10"/>
      <name val="Cambria"/>
      <family val="1"/>
      <scheme val="major"/>
    </font>
    <font>
      <b/>
      <sz val="11"/>
      <name val="Cambria"/>
      <family val="1"/>
      <scheme val="major"/>
    </font>
    <font>
      <b/>
      <sz val="10"/>
      <name val="Cambria"/>
      <family val="1"/>
      <scheme val="major"/>
    </font>
    <font>
      <sz val="11"/>
      <name val="Cambria"/>
      <family val="1"/>
      <scheme val="major"/>
    </font>
    <font>
      <b/>
      <sz val="9"/>
      <name val="Cambria"/>
      <family val="1"/>
      <scheme val="major"/>
    </font>
    <font>
      <b/>
      <sz val="9"/>
      <color rgb="FFFFFFCC"/>
      <name val="Cambria"/>
      <family val="1"/>
      <scheme val="major"/>
    </font>
    <font>
      <b/>
      <sz val="11"/>
      <color theme="0"/>
      <name val="Cambria"/>
      <family val="1"/>
      <scheme val="major"/>
    </font>
    <font>
      <sz val="9"/>
      <color theme="1"/>
      <name val="Cambria"/>
      <family val="1"/>
      <scheme val="major"/>
    </font>
    <font>
      <sz val="8"/>
      <name val="Cambria"/>
      <family val="1"/>
      <scheme val="major"/>
    </font>
    <font>
      <sz val="10"/>
      <color theme="1"/>
      <name val="Cambria"/>
      <family val="1"/>
      <scheme val="major"/>
    </font>
    <font>
      <sz val="9"/>
      <color rgb="FFFFFFCC"/>
      <name val="Cambria"/>
      <family val="1"/>
      <scheme val="major"/>
    </font>
    <font>
      <sz val="14"/>
      <color theme="0"/>
      <name val="Arial"/>
      <family val="2"/>
    </font>
    <font>
      <b/>
      <sz val="18"/>
      <color theme="0"/>
      <name val="Arial"/>
      <family val="2"/>
    </font>
    <font>
      <b/>
      <sz val="28"/>
      <color theme="0"/>
      <name val="Arial"/>
      <family val="2"/>
    </font>
    <font>
      <b/>
      <i/>
      <sz val="14"/>
      <color theme="0"/>
      <name val="Arial"/>
      <family val="2"/>
    </font>
    <font>
      <b/>
      <sz val="26"/>
      <color theme="0"/>
      <name val="Franklin Gothic Heavy"/>
      <family val="2"/>
    </font>
    <font>
      <b/>
      <i/>
      <sz val="9"/>
      <color theme="0"/>
      <name val="Arial"/>
      <family val="2"/>
    </font>
    <font>
      <b/>
      <i/>
      <sz val="10"/>
      <color theme="0"/>
      <name val="Arial"/>
      <family val="2"/>
    </font>
    <font>
      <b/>
      <i/>
      <sz val="16"/>
      <color theme="0"/>
      <name val="Arial"/>
      <family val="2"/>
    </font>
    <font>
      <b/>
      <sz val="11"/>
      <color theme="0"/>
      <name val="Arial"/>
      <family val="2"/>
    </font>
    <font>
      <b/>
      <sz val="10"/>
      <color theme="0"/>
      <name val="Arial"/>
      <family val="2"/>
    </font>
    <font>
      <b/>
      <sz val="12"/>
      <color theme="0"/>
      <name val="Cambria"/>
      <family val="1"/>
      <scheme val="major"/>
    </font>
    <font>
      <b/>
      <sz val="12"/>
      <color theme="0"/>
      <name val="Arial"/>
      <family val="2"/>
    </font>
    <font>
      <b/>
      <sz val="14"/>
      <color theme="0"/>
      <name val="Arial"/>
      <family val="2"/>
    </font>
    <font>
      <b/>
      <sz val="10"/>
      <color indexed="9"/>
      <name val="Aharoni"/>
    </font>
    <font>
      <b/>
      <sz val="11"/>
      <color indexed="9"/>
      <name val="Aharoni"/>
    </font>
    <font>
      <b/>
      <sz val="11"/>
      <name val="Times New Roman"/>
      <family val="1"/>
    </font>
    <font>
      <b/>
      <sz val="16"/>
      <color theme="0"/>
      <name val="Aharoni"/>
    </font>
    <font>
      <b/>
      <sz val="14"/>
      <color theme="0"/>
      <name val="Century Gothic"/>
      <family val="2"/>
    </font>
    <font>
      <b/>
      <sz val="14"/>
      <color theme="0"/>
      <name val="Aharoni"/>
    </font>
    <font>
      <b/>
      <sz val="16"/>
      <color theme="0"/>
      <name val="Century Gothic"/>
      <family val="2"/>
    </font>
    <font>
      <sz val="11"/>
      <color theme="0"/>
      <name val="Arial"/>
      <family val="2"/>
    </font>
    <font>
      <b/>
      <sz val="18"/>
      <color theme="0"/>
      <name val="Aharoni"/>
    </font>
    <font>
      <b/>
      <sz val="12"/>
      <color theme="0"/>
      <name val="Aharoni"/>
    </font>
    <font>
      <b/>
      <sz val="14"/>
      <color theme="0"/>
      <name val="Arial Narrow"/>
      <family val="2"/>
    </font>
    <font>
      <b/>
      <sz val="10"/>
      <color theme="1"/>
      <name val="Arial"/>
      <family val="2"/>
    </font>
    <font>
      <sz val="10"/>
      <color theme="0"/>
      <name val="Cambria"/>
      <family val="1"/>
      <scheme val="major"/>
    </font>
    <font>
      <sz val="9"/>
      <color theme="0"/>
      <name val="Cambria"/>
      <family val="1"/>
      <scheme val="major"/>
    </font>
    <font>
      <b/>
      <sz val="11"/>
      <color theme="1"/>
      <name val="Calibri"/>
      <family val="2"/>
    </font>
    <font>
      <b/>
      <sz val="11"/>
      <color theme="0"/>
      <name val="Calibri"/>
      <family val="2"/>
    </font>
    <font>
      <sz val="9"/>
      <color theme="0"/>
      <name val="Arial"/>
      <family val="2"/>
    </font>
    <font>
      <sz val="9"/>
      <name val="Cambria"/>
      <family val="1"/>
      <scheme val="major"/>
    </font>
    <font>
      <b/>
      <sz val="9"/>
      <color theme="1"/>
      <name val="Arial"/>
      <family val="2"/>
    </font>
    <font>
      <sz val="11"/>
      <color rgb="FFFF0000"/>
      <name val="Arial Narrow"/>
      <family val="2"/>
    </font>
    <font>
      <sz val="18"/>
      <color rgb="FF444444"/>
      <name val="Helvetica"/>
    </font>
    <font>
      <b/>
      <sz val="11"/>
      <color theme="0"/>
      <name val="Calibri"/>
      <family val="2"/>
      <scheme val="minor"/>
    </font>
    <font>
      <sz val="12"/>
      <color rgb="FFFF0000"/>
      <name val="Arial Narrow"/>
      <family val="2"/>
    </font>
    <font>
      <b/>
      <sz val="11"/>
      <color rgb="FF0070C0"/>
      <name val="Calibri"/>
      <family val="2"/>
    </font>
    <font>
      <b/>
      <sz val="10"/>
      <color rgb="FF0070C0"/>
      <name val="Arial"/>
      <family val="2"/>
    </font>
    <font>
      <sz val="10"/>
      <color rgb="FF0070C0"/>
      <name val="Arial"/>
      <family val="2"/>
    </font>
  </fonts>
  <fills count="43">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indexed="44"/>
        <bgColor indexed="64"/>
      </patternFill>
    </fill>
    <fill>
      <patternFill patternType="solid">
        <fgColor indexed="15"/>
        <bgColor indexed="64"/>
      </patternFill>
    </fill>
    <fill>
      <patternFill patternType="solid">
        <fgColor indexed="47"/>
        <bgColor indexed="64"/>
      </patternFill>
    </fill>
    <fill>
      <patternFill patternType="solid">
        <fgColor indexed="45"/>
        <bgColor indexed="64"/>
      </patternFill>
    </fill>
    <fill>
      <patternFill patternType="solid">
        <fgColor rgb="FF92D050"/>
        <bgColor indexed="64"/>
      </patternFill>
    </fill>
    <fill>
      <patternFill patternType="solid">
        <fgColor rgb="FFFFFFCC"/>
        <bgColor indexed="64"/>
      </patternFill>
    </fill>
    <fill>
      <patternFill patternType="solid">
        <fgColor rgb="FFFFFF00"/>
        <bgColor indexed="64"/>
      </patternFill>
    </fill>
    <fill>
      <patternFill patternType="solid">
        <fgColor rgb="FF008000"/>
        <bgColor indexed="64"/>
      </patternFill>
    </fill>
    <fill>
      <patternFill patternType="solid">
        <fgColor theme="0"/>
        <bgColor indexed="64"/>
      </patternFill>
    </fill>
    <fill>
      <patternFill patternType="solid">
        <fgColor rgb="FFFFFF99"/>
        <bgColor indexed="64"/>
      </patternFill>
    </fill>
    <fill>
      <patternFill patternType="solid">
        <fgColor rgb="FFE2F2F6"/>
        <bgColor indexed="64"/>
      </patternFill>
    </fill>
    <fill>
      <patternFill patternType="solid">
        <fgColor rgb="FFFFE4C9"/>
        <bgColor indexed="64"/>
      </patternFill>
    </fill>
    <fill>
      <patternFill patternType="solid">
        <fgColor rgb="FFB7FFFF"/>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CCFFFF"/>
        <bgColor indexed="64"/>
      </patternFill>
    </fill>
    <fill>
      <patternFill patternType="solid">
        <fgColor rgb="FF43FFFF"/>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rgb="FFC00000"/>
        <bgColor indexed="64"/>
      </patternFill>
    </fill>
    <fill>
      <patternFill patternType="solid">
        <fgColor theme="9" tint="0.59999389629810485"/>
        <bgColor indexed="64"/>
      </patternFill>
    </fill>
    <fill>
      <patternFill patternType="solid">
        <fgColor rgb="FF0070C0"/>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theme="4" tint="0.79998168889431442"/>
      </patternFill>
    </fill>
    <fill>
      <patternFill patternType="solid">
        <fgColor rgb="FF0070C0"/>
        <bgColor theme="4" tint="0.79998168889431442"/>
      </patternFill>
    </fill>
    <fill>
      <patternFill patternType="solid">
        <fgColor theme="7" tint="-0.249977111117893"/>
        <bgColor theme="4" tint="0.79998168889431442"/>
      </patternFill>
    </fill>
    <fill>
      <patternFill patternType="solid">
        <fgColor rgb="FFFFCCFF"/>
        <bgColor indexed="64"/>
      </patternFill>
    </fill>
    <fill>
      <patternFill patternType="solid">
        <fgColor theme="6" tint="0.59999389629810485"/>
        <bgColor indexed="64"/>
      </patternFill>
    </fill>
    <fill>
      <patternFill patternType="solid">
        <fgColor rgb="FF00B0F0"/>
        <bgColor indexed="64"/>
      </patternFill>
    </fill>
    <fill>
      <patternFill patternType="solid">
        <fgColor theme="6" tint="0.39997558519241921"/>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right/>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bottom/>
      <diagonal/>
    </border>
    <border>
      <left/>
      <right/>
      <top style="medium">
        <color indexed="64"/>
      </top>
      <bottom style="thin">
        <color indexed="64"/>
      </bottom>
      <diagonal/>
    </border>
    <border>
      <left/>
      <right/>
      <top style="thin">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theme="0"/>
      </left>
      <right style="thin">
        <color theme="0"/>
      </right>
      <top style="thin">
        <color theme="0"/>
      </top>
      <bottom style="thin">
        <color theme="0"/>
      </bottom>
      <diagonal/>
    </border>
    <border>
      <left/>
      <right style="thin">
        <color indexed="64"/>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760">
    <xf numFmtId="0" fontId="0" fillId="0" borderId="0" xfId="0"/>
    <xf numFmtId="0" fontId="0" fillId="2" borderId="0" xfId="0" applyFill="1" applyAlignment="1">
      <alignment vertical="center"/>
    </xf>
    <xf numFmtId="0" fontId="6" fillId="2" borderId="0" xfId="0" applyFont="1" applyFill="1" applyAlignment="1">
      <alignment vertical="center"/>
    </xf>
    <xf numFmtId="0" fontId="10" fillId="2" borderId="0" xfId="0" applyFont="1" applyFill="1" applyAlignment="1">
      <alignment vertical="center"/>
    </xf>
    <xf numFmtId="0" fontId="0" fillId="2" borderId="0" xfId="0" applyFill="1" applyAlignment="1">
      <alignment vertical="center" wrapText="1"/>
    </xf>
    <xf numFmtId="0" fontId="7" fillId="5" borderId="0" xfId="0" applyFont="1" applyFill="1" applyAlignment="1">
      <alignment horizontal="center" vertical="center" wrapText="1"/>
    </xf>
    <xf numFmtId="0" fontId="0" fillId="5" borderId="0" xfId="0" applyFill="1" applyAlignment="1">
      <alignment vertical="center" wrapText="1"/>
    </xf>
    <xf numFmtId="0" fontId="0" fillId="5" borderId="0" xfId="0" applyFill="1" applyAlignment="1">
      <alignment vertical="center"/>
    </xf>
    <xf numFmtId="0" fontId="4" fillId="5" borderId="0" xfId="0" applyFont="1" applyFill="1" applyAlignment="1">
      <alignment vertical="center"/>
    </xf>
    <xf numFmtId="0" fontId="15" fillId="5" borderId="0" xfId="0" applyFont="1" applyFill="1" applyAlignment="1">
      <alignment vertical="center"/>
    </xf>
    <xf numFmtId="0" fontId="16" fillId="5" borderId="0" xfId="0" applyFont="1" applyFill="1" applyAlignment="1">
      <alignment horizontal="center" vertical="center" wrapText="1"/>
    </xf>
    <xf numFmtId="0" fontId="15" fillId="5" borderId="0" xfId="0" applyFont="1" applyFill="1" applyAlignment="1">
      <alignment vertical="center" wrapText="1"/>
    </xf>
    <xf numFmtId="0" fontId="19" fillId="2" borderId="0" xfId="0" applyFont="1" applyFill="1" applyAlignment="1">
      <alignment vertical="center"/>
    </xf>
    <xf numFmtId="0" fontId="17" fillId="2" borderId="23" xfId="0" applyFont="1" applyFill="1" applyBorder="1" applyAlignment="1" applyProtection="1">
      <alignment horizontal="center" vertical="center"/>
      <protection locked="0"/>
    </xf>
    <xf numFmtId="0" fontId="17" fillId="2" borderId="20" xfId="0" applyFont="1" applyFill="1" applyBorder="1" applyAlignment="1" applyProtection="1">
      <alignment horizontal="center" vertical="center"/>
      <protection locked="0"/>
    </xf>
    <xf numFmtId="0" fontId="17" fillId="2" borderId="6" xfId="0" applyFont="1" applyFill="1" applyBorder="1" applyAlignment="1" applyProtection="1">
      <alignment horizontal="center" vertical="center"/>
      <protection locked="0"/>
    </xf>
    <xf numFmtId="0" fontId="17" fillId="2" borderId="6" xfId="0" applyFont="1" applyFill="1" applyBorder="1" applyAlignment="1" applyProtection="1">
      <alignment horizontal="left" vertical="center" indent="1"/>
      <protection locked="0"/>
    </xf>
    <xf numFmtId="2" fontId="9" fillId="2" borderId="0" xfId="0" applyNumberFormat="1" applyFont="1" applyFill="1" applyAlignment="1">
      <alignment horizontal="center" vertical="center"/>
    </xf>
    <xf numFmtId="0" fontId="11" fillId="2" borderId="12" xfId="0" applyFont="1" applyFill="1" applyBorder="1" applyAlignment="1">
      <alignment horizontal="center" vertical="center"/>
    </xf>
    <xf numFmtId="0" fontId="11" fillId="2" borderId="15" xfId="0" applyFont="1" applyFill="1" applyBorder="1" applyAlignment="1">
      <alignment horizontal="center" vertical="center"/>
    </xf>
    <xf numFmtId="0" fontId="10" fillId="2" borderId="10" xfId="0" applyFont="1" applyFill="1" applyBorder="1" applyAlignment="1" applyProtection="1">
      <alignment horizontal="left" vertical="center" indent="1"/>
      <protection locked="0"/>
    </xf>
    <xf numFmtId="0" fontId="10" fillId="2" borderId="1" xfId="0" applyFont="1" applyFill="1" applyBorder="1" applyAlignment="1" applyProtection="1">
      <alignment horizontal="left" vertical="center" indent="1"/>
      <protection locked="0"/>
    </xf>
    <xf numFmtId="0" fontId="10" fillId="2" borderId="1" xfId="0" applyFont="1" applyFill="1" applyBorder="1" applyAlignment="1" applyProtection="1">
      <alignment horizontal="left" vertical="center" wrapText="1" indent="1"/>
      <protection locked="0"/>
    </xf>
    <xf numFmtId="0" fontId="10" fillId="2" borderId="10" xfId="0" applyFont="1" applyFill="1" applyBorder="1" applyAlignment="1" applyProtection="1">
      <alignment horizontal="left" vertical="center" wrapText="1" indent="1"/>
      <protection locked="0"/>
    </xf>
    <xf numFmtId="0" fontId="10" fillId="2" borderId="11" xfId="0" applyFont="1" applyFill="1" applyBorder="1" applyAlignment="1" applyProtection="1">
      <alignment horizontal="left" vertical="center" indent="1"/>
      <protection locked="0"/>
    </xf>
    <xf numFmtId="0" fontId="10" fillId="2" borderId="30" xfId="0" applyFont="1" applyFill="1" applyBorder="1" applyAlignment="1" applyProtection="1">
      <alignment horizontal="left" vertical="center" indent="1"/>
      <protection locked="0"/>
    </xf>
    <xf numFmtId="0" fontId="10" fillId="2" borderId="17" xfId="0" applyFont="1" applyFill="1" applyBorder="1" applyAlignment="1" applyProtection="1">
      <alignment horizontal="left" vertical="center" indent="1"/>
      <protection locked="0"/>
    </xf>
    <xf numFmtId="0" fontId="10" fillId="2" borderId="17" xfId="0" applyFont="1" applyFill="1" applyBorder="1" applyAlignment="1" applyProtection="1">
      <alignment horizontal="left" vertical="center" wrapText="1" indent="1"/>
      <protection locked="0"/>
    </xf>
    <xf numFmtId="0" fontId="10" fillId="2" borderId="18" xfId="0" applyFont="1" applyFill="1" applyBorder="1" applyAlignment="1" applyProtection="1">
      <alignment horizontal="left" vertical="center" indent="1"/>
      <protection locked="0"/>
    </xf>
    <xf numFmtId="0" fontId="10" fillId="2" borderId="1" xfId="0" applyFont="1" applyFill="1" applyBorder="1" applyAlignment="1">
      <alignment vertical="center" wrapText="1"/>
    </xf>
    <xf numFmtId="0" fontId="10" fillId="2" borderId="11" xfId="0" applyFont="1" applyFill="1" applyBorder="1" applyAlignment="1" applyProtection="1">
      <alignment horizontal="center" vertical="center" wrapText="1"/>
      <protection locked="0"/>
    </xf>
    <xf numFmtId="0" fontId="10" fillId="2" borderId="14" xfId="0" applyFont="1" applyFill="1" applyBorder="1" applyAlignment="1" applyProtection="1">
      <alignment horizontal="center" vertical="center" wrapText="1"/>
      <protection locked="0"/>
    </xf>
    <xf numFmtId="0" fontId="10" fillId="2" borderId="14" xfId="0" applyFont="1" applyFill="1" applyBorder="1" applyAlignment="1" applyProtection="1">
      <alignment horizontal="left" vertical="center" wrapText="1" indent="1"/>
      <protection locked="0"/>
    </xf>
    <xf numFmtId="0" fontId="0" fillId="14" borderId="0" xfId="0" applyFill="1"/>
    <xf numFmtId="0" fontId="0" fillId="15" borderId="0" xfId="0" applyFill="1"/>
    <xf numFmtId="0" fontId="5" fillId="2" borderId="0" xfId="0" applyFont="1" applyFill="1" applyAlignment="1">
      <alignment vertical="center"/>
    </xf>
    <xf numFmtId="0" fontId="5" fillId="5" borderId="0" xfId="0" applyFont="1" applyFill="1" applyAlignment="1">
      <alignment vertical="center"/>
    </xf>
    <xf numFmtId="0" fontId="5" fillId="3" borderId="0" xfId="0" applyFont="1" applyFill="1" applyAlignment="1">
      <alignment vertical="center"/>
    </xf>
    <xf numFmtId="9" fontId="11" fillId="2" borderId="10" xfId="2" applyFont="1" applyFill="1" applyBorder="1" applyAlignment="1" applyProtection="1">
      <alignment horizontal="center" vertical="center" wrapText="1"/>
      <protection hidden="1"/>
    </xf>
    <xf numFmtId="0" fontId="0" fillId="16" borderId="0" xfId="0" applyFill="1"/>
    <xf numFmtId="0" fontId="0" fillId="17" borderId="0" xfId="0" applyFill="1"/>
    <xf numFmtId="0" fontId="0" fillId="18" borderId="0" xfId="0" applyFill="1"/>
    <xf numFmtId="0" fontId="24" fillId="15" borderId="0" xfId="0" applyFont="1" applyFill="1"/>
    <xf numFmtId="0" fontId="24" fillId="18" borderId="0" xfId="0" applyFont="1" applyFill="1"/>
    <xf numFmtId="49" fontId="5" fillId="5" borderId="0" xfId="0" applyNumberFormat="1" applyFont="1" applyFill="1" applyAlignment="1">
      <alignment vertical="center"/>
    </xf>
    <xf numFmtId="0" fontId="0" fillId="18" borderId="0" xfId="0" applyFill="1" applyAlignment="1">
      <alignment vertical="center"/>
    </xf>
    <xf numFmtId="0" fontId="29" fillId="5" borderId="0" xfId="0" applyFont="1" applyFill="1" applyAlignment="1">
      <alignment horizontal="right" vertical="center" indent="2"/>
    </xf>
    <xf numFmtId="0" fontId="29" fillId="5" borderId="0" xfId="0" applyFont="1" applyFill="1" applyAlignment="1">
      <alignment horizontal="left" vertical="center" indent="5"/>
    </xf>
    <xf numFmtId="0" fontId="29" fillId="5" borderId="0" xfId="0" applyFont="1" applyFill="1" applyAlignment="1">
      <alignment horizontal="right" vertical="center"/>
    </xf>
    <xf numFmtId="0" fontId="30" fillId="5" borderId="0" xfId="0" applyFont="1" applyFill="1" applyAlignment="1">
      <alignment horizontal="left" vertical="center"/>
    </xf>
    <xf numFmtId="0" fontId="5" fillId="5" borderId="0" xfId="0" applyFont="1" applyFill="1" applyAlignment="1">
      <alignment horizontal="left" vertical="center" indent="5"/>
    </xf>
    <xf numFmtId="0" fontId="28" fillId="2" borderId="0" xfId="0" applyFont="1" applyFill="1" applyAlignment="1">
      <alignment vertical="center"/>
    </xf>
    <xf numFmtId="0" fontId="0" fillId="18" borderId="0" xfId="0" applyFill="1" applyAlignment="1">
      <alignment vertical="center" wrapText="1"/>
    </xf>
    <xf numFmtId="3" fontId="10" fillId="18" borderId="11" xfId="0" applyNumberFormat="1" applyFont="1" applyFill="1" applyBorder="1" applyAlignment="1" applyProtection="1">
      <alignment horizontal="right" vertical="center" indent="2"/>
      <protection locked="0"/>
    </xf>
    <xf numFmtId="3" fontId="10" fillId="18" borderId="14" xfId="0" applyNumberFormat="1" applyFont="1" applyFill="1" applyBorder="1" applyAlignment="1" applyProtection="1">
      <alignment horizontal="right" vertical="center" indent="2"/>
      <protection locked="0"/>
    </xf>
    <xf numFmtId="3" fontId="10" fillId="18" borderId="30" xfId="0" applyNumberFormat="1" applyFont="1" applyFill="1" applyBorder="1" applyAlignment="1" applyProtection="1">
      <alignment horizontal="right" vertical="center" indent="2"/>
      <protection locked="0"/>
    </xf>
    <xf numFmtId="0" fontId="0" fillId="2" borderId="0" xfId="0" applyFill="1" applyAlignment="1">
      <alignment horizontal="center" vertical="center"/>
    </xf>
    <xf numFmtId="0" fontId="5" fillId="18" borderId="0" xfId="0" applyFont="1" applyFill="1" applyAlignment="1">
      <alignment vertical="center"/>
    </xf>
    <xf numFmtId="0" fontId="24" fillId="2" borderId="0" xfId="0" applyFont="1" applyFill="1" applyAlignment="1">
      <alignment vertical="center"/>
    </xf>
    <xf numFmtId="0" fontId="12" fillId="18" borderId="0" xfId="0" applyFont="1" applyFill="1" applyAlignment="1">
      <alignment horizontal="center" vertical="center"/>
    </xf>
    <xf numFmtId="0" fontId="10" fillId="18" borderId="0" xfId="0" applyFont="1" applyFill="1" applyAlignment="1">
      <alignment horizontal="left" vertical="center" indent="1"/>
    </xf>
    <xf numFmtId="0" fontId="28" fillId="2" borderId="0" xfId="0" applyFont="1" applyFill="1" applyAlignment="1">
      <alignment horizontal="left" vertical="center" indent="1"/>
    </xf>
    <xf numFmtId="0" fontId="11" fillId="18" borderId="0" xfId="0" applyFont="1" applyFill="1" applyAlignment="1">
      <alignment horizontal="left" vertical="center" indent="1"/>
    </xf>
    <xf numFmtId="3" fontId="11" fillId="18" borderId="0" xfId="0" applyNumberFormat="1" applyFont="1" applyFill="1" applyAlignment="1">
      <alignment horizontal="center" vertical="center"/>
    </xf>
    <xf numFmtId="0" fontId="5" fillId="18" borderId="0" xfId="0" applyFont="1" applyFill="1" applyAlignment="1">
      <alignment horizontal="left" vertical="center" indent="1"/>
    </xf>
    <xf numFmtId="3" fontId="10" fillId="18" borderId="10" xfId="0" applyNumberFormat="1" applyFont="1" applyFill="1" applyBorder="1" applyAlignment="1" applyProtection="1">
      <alignment vertical="center"/>
      <protection locked="0"/>
    </xf>
    <xf numFmtId="0" fontId="10" fillId="18" borderId="10" xfId="0" applyFont="1" applyFill="1" applyBorder="1" applyAlignment="1" applyProtection="1">
      <alignment vertical="center"/>
      <protection locked="0"/>
    </xf>
    <xf numFmtId="0" fontId="0" fillId="18" borderId="11" xfId="0" applyFill="1" applyBorder="1" applyAlignment="1" applyProtection="1">
      <alignment vertical="center"/>
      <protection locked="0"/>
    </xf>
    <xf numFmtId="0" fontId="0" fillId="18" borderId="17" xfId="0" applyFill="1" applyBorder="1" applyAlignment="1" applyProtection="1">
      <alignment vertical="center"/>
      <protection locked="0"/>
    </xf>
    <xf numFmtId="0" fontId="0" fillId="18" borderId="18" xfId="0" applyFill="1" applyBorder="1" applyAlignment="1" applyProtection="1">
      <alignment vertical="center"/>
      <protection locked="0"/>
    </xf>
    <xf numFmtId="0" fontId="10" fillId="18" borderId="34" xfId="0" applyFont="1" applyFill="1" applyBorder="1" applyAlignment="1" applyProtection="1">
      <alignment horizontal="center" vertical="center"/>
      <protection locked="0"/>
    </xf>
    <xf numFmtId="0" fontId="10" fillId="18" borderId="10" xfId="0" applyFont="1" applyFill="1" applyBorder="1" applyAlignment="1" applyProtection="1">
      <alignment horizontal="center" vertical="center"/>
      <protection locked="0"/>
    </xf>
    <xf numFmtId="0" fontId="10" fillId="18" borderId="11" xfId="0" applyFont="1" applyFill="1" applyBorder="1" applyAlignment="1" applyProtection="1">
      <alignment horizontal="center" vertical="center"/>
      <protection locked="0"/>
    </xf>
    <xf numFmtId="0" fontId="10" fillId="18" borderId="32" xfId="0" applyFont="1" applyFill="1" applyBorder="1" applyAlignment="1" applyProtection="1">
      <alignment horizontal="center" vertical="center"/>
      <protection locked="0"/>
    </xf>
    <xf numFmtId="0" fontId="10" fillId="18" borderId="1" xfId="0" applyFont="1" applyFill="1" applyBorder="1" applyAlignment="1" applyProtection="1">
      <alignment horizontal="center" vertical="center"/>
      <protection locked="0"/>
    </xf>
    <xf numFmtId="0" fontId="10" fillId="18" borderId="14" xfId="0" applyFont="1" applyFill="1" applyBorder="1" applyAlignment="1" applyProtection="1">
      <alignment horizontal="center" vertical="center"/>
      <protection locked="0"/>
    </xf>
    <xf numFmtId="0" fontId="10" fillId="18" borderId="36" xfId="0" applyFont="1" applyFill="1" applyBorder="1" applyAlignment="1" applyProtection="1">
      <alignment horizontal="center" vertical="center"/>
      <protection locked="0"/>
    </xf>
    <xf numFmtId="0" fontId="10" fillId="18" borderId="17" xfId="0" applyFont="1" applyFill="1" applyBorder="1" applyAlignment="1" applyProtection="1">
      <alignment horizontal="center" vertical="center"/>
      <protection locked="0"/>
    </xf>
    <xf numFmtId="0" fontId="10" fillId="18" borderId="18" xfId="0" applyFont="1" applyFill="1" applyBorder="1" applyAlignment="1" applyProtection="1">
      <alignment horizontal="center" vertical="center"/>
      <protection locked="0"/>
    </xf>
    <xf numFmtId="0" fontId="0" fillId="18" borderId="1" xfId="0" applyFill="1" applyBorder="1" applyAlignment="1" applyProtection="1">
      <alignment vertical="center"/>
      <protection locked="0"/>
    </xf>
    <xf numFmtId="0" fontId="5" fillId="18" borderId="8" xfId="0" applyFont="1" applyFill="1" applyBorder="1" applyAlignment="1" applyProtection="1">
      <alignment vertical="center"/>
      <protection locked="0"/>
    </xf>
    <xf numFmtId="0" fontId="0" fillId="18" borderId="10" xfId="0" applyFill="1" applyBorder="1" applyAlignment="1" applyProtection="1">
      <alignment vertical="center"/>
      <protection locked="0"/>
    </xf>
    <xf numFmtId="0" fontId="5" fillId="18" borderId="15" xfId="0" applyFont="1" applyFill="1" applyBorder="1" applyAlignment="1" applyProtection="1">
      <alignment vertical="center"/>
      <protection locked="0"/>
    </xf>
    <xf numFmtId="0" fontId="10" fillId="18" borderId="41" xfId="0" applyFont="1" applyFill="1" applyBorder="1" applyAlignment="1" applyProtection="1">
      <alignment vertical="center"/>
      <protection locked="0"/>
    </xf>
    <xf numFmtId="0" fontId="0" fillId="18" borderId="41" xfId="0" applyFill="1" applyBorder="1" applyAlignment="1" applyProtection="1">
      <alignment vertical="center"/>
      <protection locked="0"/>
    </xf>
    <xf numFmtId="0" fontId="10" fillId="18" borderId="1" xfId="0" applyFont="1" applyFill="1" applyBorder="1" applyAlignment="1" applyProtection="1">
      <alignment vertical="center"/>
      <protection locked="0"/>
    </xf>
    <xf numFmtId="3" fontId="10" fillId="18" borderId="17" xfId="0" applyNumberFormat="1" applyFont="1" applyFill="1" applyBorder="1" applyAlignment="1" applyProtection="1">
      <alignment horizontal="right" vertical="center" indent="1"/>
      <protection locked="0"/>
    </xf>
    <xf numFmtId="0" fontId="10" fillId="18" borderId="53" xfId="0" applyFont="1" applyFill="1" applyBorder="1" applyAlignment="1" applyProtection="1">
      <alignment horizontal="center" vertical="center"/>
      <protection locked="0"/>
    </xf>
    <xf numFmtId="0" fontId="10" fillId="18" borderId="30" xfId="0" applyFont="1" applyFill="1" applyBorder="1" applyAlignment="1" applyProtection="1">
      <alignment horizontal="center" vertical="center"/>
      <protection locked="0"/>
    </xf>
    <xf numFmtId="0" fontId="12" fillId="18" borderId="0" xfId="0" applyFont="1" applyFill="1" applyAlignment="1">
      <alignment horizontal="left" vertical="center"/>
    </xf>
    <xf numFmtId="0" fontId="12" fillId="18" borderId="0" xfId="0" applyFont="1" applyFill="1" applyAlignment="1">
      <alignment vertical="center"/>
    </xf>
    <xf numFmtId="3" fontId="40" fillId="2" borderId="12" xfId="0" applyNumberFormat="1" applyFont="1" applyFill="1" applyBorder="1" applyAlignment="1" applyProtection="1">
      <alignment horizontal="center" vertical="center" wrapText="1"/>
      <protection locked="0"/>
    </xf>
    <xf numFmtId="0" fontId="0" fillId="0" borderId="1" xfId="0" applyBorder="1"/>
    <xf numFmtId="3" fontId="10" fillId="18" borderId="0" xfId="0" applyNumberFormat="1" applyFont="1" applyFill="1" applyAlignment="1">
      <alignment horizontal="right" vertical="center" indent="1"/>
    </xf>
    <xf numFmtId="0" fontId="10" fillId="18" borderId="18" xfId="0" applyFont="1" applyFill="1" applyBorder="1" applyAlignment="1" applyProtection="1">
      <alignment horizontal="left" vertical="center" indent="1"/>
      <protection locked="0"/>
    </xf>
    <xf numFmtId="0" fontId="10" fillId="18" borderId="6" xfId="0" applyFont="1" applyFill="1" applyBorder="1" applyAlignment="1" applyProtection="1">
      <alignment horizontal="left" vertical="center" indent="1"/>
      <protection locked="0"/>
    </xf>
    <xf numFmtId="0" fontId="44" fillId="2" borderId="0" xfId="0" applyFont="1" applyFill="1" applyAlignment="1">
      <alignment horizontal="left" vertical="center"/>
    </xf>
    <xf numFmtId="4" fontId="5" fillId="18" borderId="32" xfId="0" applyNumberFormat="1" applyFont="1" applyFill="1" applyBorder="1" applyAlignment="1" applyProtection="1">
      <alignment horizontal="right" vertical="center" indent="1"/>
      <protection locked="0"/>
    </xf>
    <xf numFmtId="4" fontId="0" fillId="18" borderId="1" xfId="0" applyNumberFormat="1" applyFill="1" applyBorder="1" applyAlignment="1" applyProtection="1">
      <alignment horizontal="right" vertical="center" indent="1"/>
      <protection locked="0"/>
    </xf>
    <xf numFmtId="4" fontId="0" fillId="18" borderId="14" xfId="0" applyNumberFormat="1" applyFill="1" applyBorder="1" applyAlignment="1" applyProtection="1">
      <alignment horizontal="right" vertical="center" indent="1"/>
      <protection locked="0"/>
    </xf>
    <xf numFmtId="4" fontId="5" fillId="18" borderId="53" xfId="0" applyNumberFormat="1" applyFont="1" applyFill="1" applyBorder="1" applyAlignment="1" applyProtection="1">
      <alignment horizontal="right" vertical="center" indent="1"/>
      <protection locked="0"/>
    </xf>
    <xf numFmtId="4" fontId="0" fillId="18" borderId="29" xfId="0" applyNumberFormat="1" applyFill="1" applyBorder="1" applyAlignment="1" applyProtection="1">
      <alignment horizontal="right" vertical="center" indent="1"/>
      <protection locked="0"/>
    </xf>
    <xf numFmtId="4" fontId="0" fillId="18" borderId="30" xfId="0" applyNumberFormat="1" applyFill="1" applyBorder="1" applyAlignment="1" applyProtection="1">
      <alignment horizontal="right" vertical="center" indent="1"/>
      <protection locked="0"/>
    </xf>
    <xf numFmtId="4" fontId="5" fillId="18" borderId="36" xfId="0" applyNumberFormat="1" applyFont="1" applyFill="1" applyBorder="1" applyAlignment="1" applyProtection="1">
      <alignment horizontal="right" vertical="center" indent="1"/>
      <protection locked="0"/>
    </xf>
    <xf numFmtId="4" fontId="0" fillId="18" borderId="17" xfId="0" applyNumberFormat="1" applyFill="1" applyBorder="1" applyAlignment="1" applyProtection="1">
      <alignment horizontal="right" vertical="center" indent="1"/>
      <protection locked="0"/>
    </xf>
    <xf numFmtId="4" fontId="0" fillId="18" borderId="18" xfId="0" applyNumberFormat="1" applyFill="1" applyBorder="1" applyAlignment="1" applyProtection="1">
      <alignment horizontal="right" vertical="center" indent="1"/>
      <protection locked="0"/>
    </xf>
    <xf numFmtId="0" fontId="11" fillId="18" borderId="6" xfId="0" applyFont="1" applyFill="1" applyBorder="1" applyAlignment="1" applyProtection="1">
      <alignment horizontal="center" vertical="center"/>
      <protection locked="0"/>
    </xf>
    <xf numFmtId="0" fontId="10" fillId="2" borderId="0" xfId="0" applyFont="1" applyFill="1" applyAlignment="1">
      <alignment horizontal="center" vertical="center"/>
    </xf>
    <xf numFmtId="3" fontId="5" fillId="18" borderId="8" xfId="0" applyNumberFormat="1" applyFont="1" applyFill="1" applyBorder="1" applyAlignment="1" applyProtection="1">
      <alignment horizontal="right" vertical="center" indent="1"/>
      <protection locked="0"/>
    </xf>
    <xf numFmtId="3" fontId="0" fillId="18" borderId="10" xfId="0" applyNumberFormat="1" applyFill="1" applyBorder="1" applyAlignment="1" applyProtection="1">
      <alignment horizontal="right" vertical="center" indent="1"/>
      <protection locked="0"/>
    </xf>
    <xf numFmtId="3" fontId="0" fillId="18" borderId="11" xfId="0" applyNumberFormat="1" applyFill="1" applyBorder="1" applyAlignment="1" applyProtection="1">
      <alignment horizontal="right" vertical="center" indent="1"/>
      <protection locked="0"/>
    </xf>
    <xf numFmtId="3" fontId="5" fillId="18" borderId="15" xfId="0" applyNumberFormat="1" applyFont="1" applyFill="1" applyBorder="1" applyAlignment="1" applyProtection="1">
      <alignment horizontal="right" vertical="center" indent="1"/>
      <protection locked="0"/>
    </xf>
    <xf numFmtId="3" fontId="0" fillId="18" borderId="17" xfId="0" applyNumberFormat="1" applyFill="1" applyBorder="1" applyAlignment="1" applyProtection="1">
      <alignment horizontal="right" vertical="center" indent="1"/>
      <protection locked="0"/>
    </xf>
    <xf numFmtId="3" fontId="0" fillId="18" borderId="18" xfId="0" applyNumberFormat="1" applyFill="1" applyBorder="1" applyAlignment="1" applyProtection="1">
      <alignment horizontal="right" vertical="center" indent="1"/>
      <protection locked="0"/>
    </xf>
    <xf numFmtId="0" fontId="50" fillId="18" borderId="0" xfId="0" applyFont="1" applyFill="1" applyAlignment="1">
      <alignment vertical="center"/>
    </xf>
    <xf numFmtId="0" fontId="10" fillId="2" borderId="29" xfId="0" applyFont="1" applyFill="1" applyBorder="1" applyAlignment="1" applyProtection="1">
      <alignment horizontal="left" vertical="center" wrapText="1" indent="1"/>
      <protection locked="0"/>
    </xf>
    <xf numFmtId="0" fontId="10" fillId="2" borderId="0" xfId="0" applyFont="1" applyFill="1" applyAlignment="1">
      <alignment vertical="center" wrapText="1"/>
    </xf>
    <xf numFmtId="4" fontId="5" fillId="18" borderId="29" xfId="0" applyNumberFormat="1" applyFont="1" applyFill="1" applyBorder="1" applyAlignment="1" applyProtection="1">
      <alignment horizontal="right" vertical="center" indent="1"/>
      <protection locked="0"/>
    </xf>
    <xf numFmtId="0" fontId="10" fillId="2" borderId="64" xfId="0" applyFont="1" applyFill="1" applyBorder="1" applyAlignment="1" applyProtection="1">
      <alignment horizontal="left" vertical="center" wrapText="1"/>
      <protection locked="0"/>
    </xf>
    <xf numFmtId="0" fontId="10" fillId="2" borderId="1" xfId="0" applyFont="1" applyFill="1" applyBorder="1" applyAlignment="1" applyProtection="1">
      <alignment horizontal="center" vertical="center" wrapText="1"/>
      <protection locked="0"/>
    </xf>
    <xf numFmtId="0" fontId="10" fillId="2" borderId="30" xfId="0" applyFont="1" applyFill="1" applyBorder="1" applyAlignment="1" applyProtection="1">
      <alignment horizontal="left" vertical="center" wrapText="1"/>
      <protection locked="0"/>
    </xf>
    <xf numFmtId="4" fontId="10" fillId="19" borderId="3" xfId="0" applyNumberFormat="1" applyFont="1" applyFill="1" applyBorder="1" applyAlignment="1" applyProtection="1">
      <alignment horizontal="right" vertical="center" indent="1"/>
      <protection locked="0"/>
    </xf>
    <xf numFmtId="4" fontId="10" fillId="19" borderId="4" xfId="0" applyNumberFormat="1" applyFont="1" applyFill="1" applyBorder="1" applyAlignment="1" applyProtection="1">
      <alignment horizontal="right" vertical="center" indent="1"/>
      <protection locked="0"/>
    </xf>
    <xf numFmtId="4" fontId="10" fillId="19" borderId="7" xfId="0" applyNumberFormat="1" applyFont="1" applyFill="1" applyBorder="1" applyAlignment="1" applyProtection="1">
      <alignment horizontal="right" vertical="center" indent="1"/>
      <protection locked="0"/>
    </xf>
    <xf numFmtId="0" fontId="5" fillId="18" borderId="1" xfId="0" applyFont="1" applyFill="1" applyBorder="1" applyAlignment="1">
      <alignment vertical="center"/>
    </xf>
    <xf numFmtId="0" fontId="0" fillId="18" borderId="1" xfId="0" applyFill="1" applyBorder="1" applyAlignment="1">
      <alignment vertical="center"/>
    </xf>
    <xf numFmtId="0" fontId="46" fillId="18" borderId="1" xfId="0" applyFont="1" applyFill="1" applyBorder="1"/>
    <xf numFmtId="3" fontId="46" fillId="18" borderId="11" xfId="0" applyNumberFormat="1" applyFont="1" applyFill="1" applyBorder="1" applyAlignment="1" applyProtection="1">
      <alignment horizontal="right"/>
      <protection locked="0"/>
    </xf>
    <xf numFmtId="3" fontId="46" fillId="18" borderId="14" xfId="0" applyNumberFormat="1" applyFont="1" applyFill="1" applyBorder="1" applyAlignment="1" applyProtection="1">
      <alignment horizontal="right"/>
      <protection locked="0"/>
    </xf>
    <xf numFmtId="3" fontId="46" fillId="18" borderId="30" xfId="0" applyNumberFormat="1" applyFont="1" applyFill="1" applyBorder="1" applyAlignment="1" applyProtection="1">
      <alignment horizontal="right"/>
      <protection locked="0"/>
    </xf>
    <xf numFmtId="0" fontId="8" fillId="18" borderId="1" xfId="0" applyFont="1" applyFill="1" applyBorder="1"/>
    <xf numFmtId="3" fontId="8" fillId="18" borderId="1" xfId="0" applyNumberFormat="1" applyFont="1" applyFill="1" applyBorder="1"/>
    <xf numFmtId="0" fontId="2" fillId="18" borderId="0" xfId="0" applyFont="1" applyFill="1" applyAlignment="1">
      <alignment vertical="center"/>
    </xf>
    <xf numFmtId="2" fontId="5" fillId="18" borderId="34" xfId="0" applyNumberFormat="1" applyFont="1" applyFill="1" applyBorder="1" applyAlignment="1" applyProtection="1">
      <alignment horizontal="center" vertical="center"/>
      <protection locked="0"/>
    </xf>
    <xf numFmtId="2" fontId="5" fillId="18" borderId="10" xfId="0" applyNumberFormat="1" applyFont="1" applyFill="1" applyBorder="1" applyAlignment="1" applyProtection="1">
      <alignment horizontal="center" vertical="center"/>
      <protection locked="0"/>
    </xf>
    <xf numFmtId="2" fontId="5" fillId="18" borderId="11" xfId="0" applyNumberFormat="1" applyFont="1" applyFill="1" applyBorder="1" applyAlignment="1" applyProtection="1">
      <alignment horizontal="center" vertical="center"/>
      <protection locked="0"/>
    </xf>
    <xf numFmtId="0" fontId="5" fillId="18" borderId="1" xfId="0" applyFont="1" applyFill="1" applyBorder="1" applyAlignment="1" applyProtection="1">
      <alignment vertical="center"/>
      <protection locked="0"/>
    </xf>
    <xf numFmtId="3" fontId="0" fillId="18" borderId="1" xfId="0" applyNumberFormat="1" applyFill="1" applyBorder="1" applyAlignment="1" applyProtection="1">
      <alignment horizontal="right" vertical="center" indent="1"/>
      <protection locked="0"/>
    </xf>
    <xf numFmtId="0" fontId="10" fillId="18" borderId="0" xfId="0" applyFont="1" applyFill="1" applyAlignment="1" applyProtection="1">
      <alignment horizontal="center" vertical="center"/>
      <protection locked="0"/>
    </xf>
    <xf numFmtId="0" fontId="10" fillId="18" borderId="29" xfId="0" applyFont="1" applyFill="1" applyBorder="1" applyAlignment="1" applyProtection="1">
      <alignment horizontal="center" vertical="center"/>
      <protection locked="0"/>
    </xf>
    <xf numFmtId="0" fontId="10" fillId="18" borderId="10" xfId="0" applyFont="1" applyFill="1" applyBorder="1" applyAlignment="1" applyProtection="1">
      <alignment horizontal="left" vertical="center" indent="1"/>
      <protection locked="0"/>
    </xf>
    <xf numFmtId="3" fontId="5" fillId="18" borderId="1" xfId="0" applyNumberFormat="1" applyFont="1" applyFill="1" applyBorder="1" applyAlignment="1" applyProtection="1">
      <alignment horizontal="right" vertical="center" indent="1"/>
      <protection locked="0"/>
    </xf>
    <xf numFmtId="3" fontId="10" fillId="18" borderId="18" xfId="0" applyNumberFormat="1" applyFont="1" applyFill="1" applyBorder="1" applyAlignment="1" applyProtection="1">
      <alignment horizontal="left" vertical="center" indent="1"/>
      <protection locked="0"/>
    </xf>
    <xf numFmtId="3" fontId="10" fillId="18" borderId="6" xfId="0" applyNumberFormat="1" applyFont="1" applyFill="1" applyBorder="1" applyAlignment="1" applyProtection="1">
      <alignment horizontal="left" vertical="center" indent="1"/>
      <protection locked="0"/>
    </xf>
    <xf numFmtId="0" fontId="0" fillId="18" borderId="0" xfId="0" applyFill="1" applyAlignment="1" applyProtection="1">
      <alignment vertical="center"/>
      <protection locked="0"/>
    </xf>
    <xf numFmtId="4" fontId="11" fillId="19" borderId="4" xfId="0" applyNumberFormat="1" applyFont="1" applyFill="1" applyBorder="1" applyAlignment="1" applyProtection="1">
      <alignment horizontal="right" vertical="center" indent="1"/>
      <protection locked="0"/>
    </xf>
    <xf numFmtId="3" fontId="10" fillId="18" borderId="34" xfId="0" applyNumberFormat="1" applyFont="1" applyFill="1" applyBorder="1" applyAlignment="1" applyProtection="1">
      <alignment horizontal="center" vertical="center"/>
      <protection locked="0"/>
    </xf>
    <xf numFmtId="0" fontId="0" fillId="0" borderId="1" xfId="0" applyBorder="1" applyProtection="1">
      <protection locked="0"/>
    </xf>
    <xf numFmtId="4" fontId="11" fillId="19" borderId="3" xfId="0" applyNumberFormat="1" applyFont="1" applyFill="1" applyBorder="1" applyAlignment="1" applyProtection="1">
      <alignment horizontal="right" vertical="center" indent="1"/>
      <protection locked="0"/>
    </xf>
    <xf numFmtId="4" fontId="11" fillId="19" borderId="7" xfId="0" applyNumberFormat="1" applyFont="1" applyFill="1" applyBorder="1" applyAlignment="1" applyProtection="1">
      <alignment horizontal="right" vertical="center" indent="1"/>
      <protection locked="0"/>
    </xf>
    <xf numFmtId="0" fontId="50" fillId="28" borderId="1" xfId="0" applyFont="1" applyFill="1" applyBorder="1" applyAlignment="1">
      <alignment horizontal="center" vertical="center"/>
    </xf>
    <xf numFmtId="4" fontId="5" fillId="18" borderId="1" xfId="0" applyNumberFormat="1" applyFont="1" applyFill="1" applyBorder="1" applyAlignment="1" applyProtection="1">
      <alignment horizontal="right" vertical="center" indent="1"/>
      <protection locked="0"/>
    </xf>
    <xf numFmtId="3" fontId="0" fillId="18" borderId="34" xfId="0" applyNumberFormat="1" applyFill="1" applyBorder="1" applyAlignment="1" applyProtection="1">
      <alignment horizontal="right" vertical="center" indent="1"/>
      <protection locked="0"/>
    </xf>
    <xf numFmtId="3" fontId="0" fillId="18" borderId="36" xfId="0" applyNumberFormat="1" applyFill="1" applyBorder="1" applyAlignment="1" applyProtection="1">
      <alignment horizontal="right" vertical="center" indent="1"/>
      <protection locked="0"/>
    </xf>
    <xf numFmtId="0" fontId="10" fillId="18" borderId="56" xfId="0" applyFont="1" applyFill="1" applyBorder="1" applyAlignment="1" applyProtection="1">
      <alignment horizontal="center" vertical="center"/>
      <protection locked="0"/>
    </xf>
    <xf numFmtId="0" fontId="10" fillId="18" borderId="28" xfId="0" applyFont="1" applyFill="1" applyBorder="1" applyAlignment="1" applyProtection="1">
      <alignment horizontal="center" vertical="center"/>
      <protection locked="0"/>
    </xf>
    <xf numFmtId="0" fontId="10" fillId="18" borderId="52" xfId="0" applyFont="1" applyFill="1" applyBorder="1" applyAlignment="1" applyProtection="1">
      <alignment horizontal="center" vertical="center"/>
      <protection locked="0"/>
    </xf>
    <xf numFmtId="0" fontId="10" fillId="18" borderId="57" xfId="0" applyFont="1" applyFill="1" applyBorder="1" applyAlignment="1" applyProtection="1">
      <alignment horizontal="center" vertical="center"/>
      <protection locked="0"/>
    </xf>
    <xf numFmtId="4" fontId="0" fillId="18" borderId="28" xfId="0" applyNumberFormat="1" applyFill="1" applyBorder="1" applyAlignment="1" applyProtection="1">
      <alignment horizontal="right" vertical="center" indent="1"/>
      <protection locked="0"/>
    </xf>
    <xf numFmtId="4" fontId="0" fillId="18" borderId="52" xfId="0" applyNumberFormat="1" applyFill="1" applyBorder="1" applyAlignment="1" applyProtection="1">
      <alignment horizontal="right" vertical="center" indent="1"/>
      <protection locked="0"/>
    </xf>
    <xf numFmtId="4" fontId="0" fillId="18" borderId="57" xfId="0" applyNumberFormat="1" applyFill="1" applyBorder="1" applyAlignment="1" applyProtection="1">
      <alignment horizontal="right" vertical="center" indent="1"/>
      <protection locked="0"/>
    </xf>
    <xf numFmtId="0" fontId="0" fillId="18" borderId="32" xfId="0" applyFill="1" applyBorder="1" applyAlignment="1" applyProtection="1">
      <alignment vertical="center"/>
      <protection locked="0"/>
    </xf>
    <xf numFmtId="3" fontId="0" fillId="18" borderId="32" xfId="0" applyNumberFormat="1" applyFill="1" applyBorder="1" applyAlignment="1" applyProtection="1">
      <alignment horizontal="right" vertical="center" indent="1"/>
      <protection locked="0"/>
    </xf>
    <xf numFmtId="0" fontId="5" fillId="18" borderId="34" xfId="0" applyFont="1" applyFill="1" applyBorder="1" applyAlignment="1" applyProtection="1">
      <alignment vertical="center"/>
      <protection locked="0"/>
    </xf>
    <xf numFmtId="0" fontId="5" fillId="18" borderId="36" xfId="0" applyFont="1" applyFill="1" applyBorder="1" applyAlignment="1" applyProtection="1">
      <alignment vertical="center"/>
      <protection locked="0"/>
    </xf>
    <xf numFmtId="3" fontId="5" fillId="18" borderId="34" xfId="0" applyNumberFormat="1" applyFont="1" applyFill="1" applyBorder="1" applyAlignment="1" applyProtection="1">
      <alignment horizontal="right" vertical="center" indent="1"/>
      <protection locked="0"/>
    </xf>
    <xf numFmtId="3" fontId="5" fillId="18" borderId="36" xfId="0" applyNumberFormat="1" applyFont="1" applyFill="1" applyBorder="1" applyAlignment="1" applyProtection="1">
      <alignment horizontal="right" vertical="center" indent="1"/>
      <protection locked="0"/>
    </xf>
    <xf numFmtId="0" fontId="5" fillId="18" borderId="1" xfId="0" applyFont="1" applyFill="1" applyBorder="1" applyAlignment="1" applyProtection="1">
      <alignment horizontal="right" vertical="center" indent="1"/>
      <protection locked="0"/>
    </xf>
    <xf numFmtId="2" fontId="5" fillId="18" borderId="1" xfId="0" applyNumberFormat="1" applyFont="1" applyFill="1" applyBorder="1" applyAlignment="1" applyProtection="1">
      <alignment horizontal="right" vertical="center" indent="1"/>
      <protection locked="0"/>
    </xf>
    <xf numFmtId="0" fontId="53" fillId="16" borderId="1" xfId="0" applyFont="1" applyFill="1" applyBorder="1" applyAlignment="1">
      <alignment vertical="center"/>
    </xf>
    <xf numFmtId="0" fontId="0" fillId="16" borderId="1" xfId="0" applyFill="1" applyBorder="1" applyAlignment="1">
      <alignment vertical="center"/>
    </xf>
    <xf numFmtId="0" fontId="27" fillId="8" borderId="9" xfId="0" applyFont="1" applyFill="1" applyBorder="1" applyAlignment="1">
      <alignment horizontal="center" vertical="center" wrapText="1"/>
    </xf>
    <xf numFmtId="2" fontId="0" fillId="0" borderId="0" xfId="0" applyNumberFormat="1"/>
    <xf numFmtId="0" fontId="5" fillId="0" borderId="0" xfId="0" applyFont="1"/>
    <xf numFmtId="0" fontId="0" fillId="29" borderId="0" xfId="0" applyFill="1"/>
    <xf numFmtId="0" fontId="27" fillId="8" borderId="0" xfId="0" applyFont="1" applyFill="1" applyAlignment="1">
      <alignment horizontal="center" vertical="center" wrapText="1"/>
    </xf>
    <xf numFmtId="0" fontId="55" fillId="0" borderId="9" xfId="0" applyFont="1" applyBorder="1" applyAlignment="1">
      <alignment horizontal="right" vertical="center" wrapText="1"/>
    </xf>
    <xf numFmtId="0" fontId="0" fillId="31" borderId="0" xfId="0" applyFill="1" applyAlignment="1">
      <alignment vertical="center"/>
    </xf>
    <xf numFmtId="0" fontId="0" fillId="31" borderId="0" xfId="0" applyFill="1"/>
    <xf numFmtId="0" fontId="24" fillId="31" borderId="0" xfId="0" applyFont="1" applyFill="1"/>
    <xf numFmtId="0" fontId="0" fillId="33" borderId="0" xfId="0" applyFill="1"/>
    <xf numFmtId="0" fontId="50" fillId="33" borderId="0" xfId="0" applyFont="1" applyFill="1"/>
    <xf numFmtId="0" fontId="71" fillId="33" borderId="0" xfId="0" applyFont="1" applyFill="1" applyAlignment="1">
      <alignment horizontal="right"/>
    </xf>
    <xf numFmtId="0" fontId="71" fillId="33" borderId="0" xfId="0" applyFont="1" applyFill="1" applyAlignment="1">
      <alignment horizontal="left" indent="1"/>
    </xf>
    <xf numFmtId="0" fontId="71" fillId="33" borderId="0" xfId="0" applyFont="1" applyFill="1"/>
    <xf numFmtId="0" fontId="68" fillId="33" borderId="0" xfId="0" applyFont="1" applyFill="1"/>
    <xf numFmtId="0" fontId="73" fillId="33" borderId="24" xfId="0" applyFont="1" applyFill="1" applyBorder="1" applyAlignment="1">
      <alignment horizontal="left" vertical="center"/>
    </xf>
    <xf numFmtId="0" fontId="74" fillId="33" borderId="2" xfId="0" applyFont="1" applyFill="1" applyBorder="1" applyAlignment="1">
      <alignment horizontal="left" vertical="center"/>
    </xf>
    <xf numFmtId="0" fontId="75" fillId="33" borderId="2" xfId="0" applyFont="1" applyFill="1" applyBorder="1" applyAlignment="1">
      <alignment horizontal="left" vertical="center" wrapText="1"/>
    </xf>
    <xf numFmtId="0" fontId="50" fillId="33" borderId="2" xfId="0" applyFont="1" applyFill="1" applyBorder="1"/>
    <xf numFmtId="0" fontId="76" fillId="33" borderId="0" xfId="0" applyFont="1" applyFill="1" applyAlignment="1">
      <alignment vertical="center"/>
    </xf>
    <xf numFmtId="0" fontId="77" fillId="33" borderId="0" xfId="0" applyFont="1" applyFill="1" applyAlignment="1">
      <alignment vertical="center"/>
    </xf>
    <xf numFmtId="0" fontId="50" fillId="33" borderId="0" xfId="0" applyFont="1" applyFill="1" applyAlignment="1">
      <alignment vertical="center"/>
    </xf>
    <xf numFmtId="0" fontId="15" fillId="31" borderId="33" xfId="0" applyFont="1" applyFill="1" applyBorder="1" applyAlignment="1">
      <alignment vertical="center"/>
    </xf>
    <xf numFmtId="0" fontId="5" fillId="31" borderId="28" xfId="0" applyFont="1" applyFill="1" applyBorder="1" applyAlignment="1">
      <alignment vertical="center"/>
    </xf>
    <xf numFmtId="0" fontId="15" fillId="31" borderId="27" xfId="0" applyFont="1" applyFill="1" applyBorder="1" applyAlignment="1">
      <alignment vertical="center"/>
    </xf>
    <xf numFmtId="0" fontId="0" fillId="31" borderId="33" xfId="0" applyFill="1" applyBorder="1" applyAlignment="1">
      <alignment vertical="center"/>
    </xf>
    <xf numFmtId="0" fontId="25" fillId="34" borderId="2" xfId="0" applyFont="1" applyFill="1" applyBorder="1" applyAlignment="1">
      <alignment horizontal="left" vertical="center" wrapText="1"/>
    </xf>
    <xf numFmtId="0" fontId="29" fillId="34" borderId="24" xfId="0" applyFont="1" applyFill="1" applyBorder="1" applyAlignment="1">
      <alignment horizontal="left" vertical="center"/>
    </xf>
    <xf numFmtId="0" fontId="29" fillId="34" borderId="2" xfId="0" applyFont="1" applyFill="1" applyBorder="1" applyAlignment="1">
      <alignment horizontal="left" vertical="center"/>
    </xf>
    <xf numFmtId="0" fontId="5" fillId="34" borderId="2" xfId="0" applyFont="1" applyFill="1" applyBorder="1"/>
    <xf numFmtId="3" fontId="28" fillId="2" borderId="1" xfId="0" applyNumberFormat="1" applyFont="1" applyFill="1" applyBorder="1" applyAlignment="1" applyProtection="1">
      <alignment horizontal="center" vertical="center" wrapText="1"/>
      <protection locked="0"/>
    </xf>
    <xf numFmtId="0" fontId="86" fillId="33" borderId="0" xfId="0" applyFont="1" applyFill="1" applyAlignment="1">
      <alignment vertical="center"/>
    </xf>
    <xf numFmtId="0" fontId="50" fillId="33" borderId="0" xfId="0" applyFont="1" applyFill="1" applyAlignment="1">
      <alignment horizontal="center" vertical="center"/>
    </xf>
    <xf numFmtId="2" fontId="76" fillId="31" borderId="6" xfId="0" applyNumberFormat="1" applyFont="1" applyFill="1" applyBorder="1" applyAlignment="1">
      <alignment horizontal="center" vertical="center"/>
    </xf>
    <xf numFmtId="2" fontId="80" fillId="31" borderId="6" xfId="0" applyNumberFormat="1" applyFont="1" applyFill="1" applyBorder="1" applyAlignment="1">
      <alignment horizontal="center" vertical="center"/>
    </xf>
    <xf numFmtId="0" fontId="87" fillId="33" borderId="0" xfId="0" applyFont="1" applyFill="1" applyAlignment="1">
      <alignment vertical="center"/>
    </xf>
    <xf numFmtId="0" fontId="80" fillId="33" borderId="7" xfId="0" applyFont="1" applyFill="1" applyBorder="1" applyAlignment="1">
      <alignment horizontal="center" vertical="center"/>
    </xf>
    <xf numFmtId="0" fontId="79" fillId="33" borderId="7" xfId="0" applyFont="1" applyFill="1" applyBorder="1" applyAlignment="1">
      <alignment horizontal="center" vertical="center"/>
    </xf>
    <xf numFmtId="0" fontId="76" fillId="31" borderId="22" xfId="0" applyFont="1" applyFill="1" applyBorder="1" applyAlignment="1">
      <alignment horizontal="center" vertical="center"/>
    </xf>
    <xf numFmtId="0" fontId="76" fillId="31" borderId="25" xfId="0" applyFont="1" applyFill="1" applyBorder="1" applyAlignment="1">
      <alignment horizontal="left" vertical="center" indent="1"/>
    </xf>
    <xf numFmtId="0" fontId="88" fillId="31" borderId="26" xfId="0" applyFont="1" applyFill="1" applyBorder="1" applyAlignment="1">
      <alignment horizontal="left" vertical="center" indent="1"/>
    </xf>
    <xf numFmtId="0" fontId="76" fillId="31" borderId="27" xfId="0" applyFont="1" applyFill="1" applyBorder="1" applyAlignment="1">
      <alignment horizontal="center" vertical="center"/>
    </xf>
    <xf numFmtId="0" fontId="76" fillId="31" borderId="13" xfId="0" applyFont="1" applyFill="1" applyBorder="1" applyAlignment="1">
      <alignment horizontal="left" vertical="center" indent="1"/>
    </xf>
    <xf numFmtId="0" fontId="88" fillId="31" borderId="28" xfId="0" applyFont="1" applyFill="1" applyBorder="1" applyAlignment="1">
      <alignment horizontal="left" vertical="center" indent="1"/>
    </xf>
    <xf numFmtId="0" fontId="90" fillId="33" borderId="0" xfId="0" applyFont="1" applyFill="1" applyAlignment="1">
      <alignment vertical="center"/>
    </xf>
    <xf numFmtId="0" fontId="76" fillId="33" borderId="60" xfId="0" applyFont="1" applyFill="1" applyBorder="1" applyAlignment="1">
      <alignment horizontal="center" vertical="center"/>
    </xf>
    <xf numFmtId="0" fontId="76" fillId="33" borderId="39" xfId="0" applyFont="1" applyFill="1" applyBorder="1" applyAlignment="1">
      <alignment horizontal="center" vertical="center"/>
    </xf>
    <xf numFmtId="0" fontId="76" fillId="33" borderId="4" xfId="0" applyFont="1" applyFill="1" applyBorder="1" applyAlignment="1">
      <alignment horizontal="center" vertical="center"/>
    </xf>
    <xf numFmtId="0" fontId="76" fillId="33" borderId="7" xfId="0" applyFont="1" applyFill="1" applyBorder="1" applyAlignment="1">
      <alignment horizontal="center" vertical="center"/>
    </xf>
    <xf numFmtId="0" fontId="79" fillId="33" borderId="38" xfId="0" applyFont="1" applyFill="1" applyBorder="1" applyAlignment="1">
      <alignment horizontal="center" vertical="center"/>
    </xf>
    <xf numFmtId="0" fontId="79" fillId="33" borderId="49" xfId="0" applyFont="1" applyFill="1" applyBorder="1" applyAlignment="1">
      <alignment horizontal="center" vertical="center"/>
    </xf>
    <xf numFmtId="0" fontId="50" fillId="33" borderId="48" xfId="0" applyFont="1" applyFill="1" applyBorder="1" applyAlignment="1">
      <alignment horizontal="center" vertical="center"/>
    </xf>
    <xf numFmtId="0" fontId="50" fillId="33" borderId="38" xfId="0" applyFont="1" applyFill="1" applyBorder="1" applyAlignment="1">
      <alignment horizontal="center" vertical="center"/>
    </xf>
    <xf numFmtId="0" fontId="50" fillId="33" borderId="49" xfId="0" applyFont="1" applyFill="1" applyBorder="1" applyAlignment="1">
      <alignment horizontal="center" vertical="center"/>
    </xf>
    <xf numFmtId="0" fontId="76" fillId="33" borderId="6" xfId="0" applyFont="1" applyFill="1" applyBorder="1" applyAlignment="1">
      <alignment horizontal="center" vertical="center"/>
    </xf>
    <xf numFmtId="0" fontId="76" fillId="33" borderId="47" xfId="0" applyFont="1" applyFill="1" applyBorder="1" applyAlignment="1">
      <alignment horizontal="center" vertical="center"/>
    </xf>
    <xf numFmtId="0" fontId="76" fillId="33" borderId="41" xfId="0" applyFont="1" applyFill="1" applyBorder="1" applyAlignment="1">
      <alignment horizontal="center" vertical="center"/>
    </xf>
    <xf numFmtId="3" fontId="76" fillId="33" borderId="38" xfId="0" applyNumberFormat="1" applyFont="1" applyFill="1" applyBorder="1" applyAlignment="1">
      <alignment horizontal="center" vertical="center"/>
    </xf>
    <xf numFmtId="3" fontId="76" fillId="33" borderId="5" xfId="0" applyNumberFormat="1" applyFont="1" applyFill="1" applyBorder="1" applyAlignment="1">
      <alignment horizontal="center" vertical="center"/>
    </xf>
    <xf numFmtId="3" fontId="76" fillId="33" borderId="4" xfId="0" applyNumberFormat="1" applyFont="1" applyFill="1" applyBorder="1" applyAlignment="1">
      <alignment horizontal="center" vertical="center"/>
    </xf>
    <xf numFmtId="3" fontId="76" fillId="33" borderId="48" xfId="0" applyNumberFormat="1" applyFont="1" applyFill="1" applyBorder="1" applyAlignment="1">
      <alignment horizontal="center" vertical="center"/>
    </xf>
    <xf numFmtId="0" fontId="10" fillId="34" borderId="27" xfId="0" applyFont="1" applyFill="1" applyBorder="1" applyAlignment="1">
      <alignment horizontal="left" vertical="center" indent="1"/>
    </xf>
    <xf numFmtId="0" fontId="10" fillId="34" borderId="28" xfId="0" applyFont="1" applyFill="1" applyBorder="1" applyAlignment="1">
      <alignment horizontal="left" vertical="center" indent="1"/>
    </xf>
    <xf numFmtId="0" fontId="10" fillId="34" borderId="19" xfId="0" applyFont="1" applyFill="1" applyBorder="1" applyAlignment="1">
      <alignment horizontal="left" vertical="center" indent="1"/>
    </xf>
    <xf numFmtId="0" fontId="10" fillId="34" borderId="21" xfId="0" applyFont="1" applyFill="1" applyBorder="1" applyAlignment="1">
      <alignment horizontal="left" vertical="center" indent="1"/>
    </xf>
    <xf numFmtId="0" fontId="10" fillId="34" borderId="37" xfId="0" applyFont="1" applyFill="1" applyBorder="1" applyAlignment="1">
      <alignment horizontal="left" vertical="center" indent="1"/>
    </xf>
    <xf numFmtId="0" fontId="10" fillId="34" borderId="52" xfId="0" applyFont="1" applyFill="1" applyBorder="1" applyAlignment="1">
      <alignment horizontal="left" vertical="center" indent="1"/>
    </xf>
    <xf numFmtId="0" fontId="10" fillId="34" borderId="2" xfId="0" applyFont="1" applyFill="1" applyBorder="1" applyAlignment="1">
      <alignment horizontal="left" vertical="center" indent="1"/>
    </xf>
    <xf numFmtId="0" fontId="10" fillId="34" borderId="13" xfId="0" applyFont="1" applyFill="1" applyBorder="1" applyAlignment="1">
      <alignment horizontal="left" vertical="center" indent="1"/>
    </xf>
    <xf numFmtId="0" fontId="10" fillId="34" borderId="46" xfId="0" applyFont="1" applyFill="1" applyBorder="1" applyAlignment="1">
      <alignment horizontal="left" vertical="center" indent="1"/>
    </xf>
    <xf numFmtId="0" fontId="76" fillId="33" borderId="50" xfId="0" applyFont="1" applyFill="1" applyBorder="1" applyAlignment="1">
      <alignment horizontal="center" vertical="center" wrapText="1"/>
    </xf>
    <xf numFmtId="0" fontId="76" fillId="33" borderId="51" xfId="0" applyFont="1" applyFill="1" applyBorder="1" applyAlignment="1">
      <alignment horizontal="center" vertical="center" wrapText="1"/>
    </xf>
    <xf numFmtId="0" fontId="90" fillId="33" borderId="0" xfId="0" applyFont="1" applyFill="1" applyAlignment="1">
      <alignment horizontal="center" vertical="center"/>
    </xf>
    <xf numFmtId="0" fontId="0" fillId="18" borderId="0" xfId="0" applyFill="1" applyAlignment="1">
      <alignment horizontal="center" vertical="center"/>
    </xf>
    <xf numFmtId="3" fontId="10" fillId="18" borderId="1" xfId="0" applyNumberFormat="1" applyFont="1" applyFill="1" applyBorder="1" applyAlignment="1" applyProtection="1">
      <alignment horizontal="center" vertical="center"/>
      <protection locked="0"/>
    </xf>
    <xf numFmtId="3" fontId="10" fillId="18" borderId="10" xfId="0" applyNumberFormat="1" applyFont="1" applyFill="1" applyBorder="1" applyAlignment="1" applyProtection="1">
      <alignment horizontal="center" vertical="center"/>
      <protection locked="0"/>
    </xf>
    <xf numFmtId="0" fontId="0" fillId="18" borderId="10" xfId="0" applyFill="1" applyBorder="1" applyAlignment="1" applyProtection="1">
      <alignment horizontal="center" vertical="center"/>
      <protection locked="0"/>
    </xf>
    <xf numFmtId="0" fontId="0" fillId="18" borderId="11" xfId="0" applyFill="1" applyBorder="1" applyAlignment="1" applyProtection="1">
      <alignment horizontal="center" vertical="center"/>
      <protection locked="0"/>
    </xf>
    <xf numFmtId="0" fontId="50" fillId="18" borderId="0" xfId="0" applyFont="1" applyFill="1" applyAlignment="1">
      <alignment horizontal="center" vertical="center"/>
    </xf>
    <xf numFmtId="0" fontId="0" fillId="18" borderId="0" xfId="0" applyFill="1" applyAlignment="1">
      <alignment horizontal="center" vertical="center" wrapText="1"/>
    </xf>
    <xf numFmtId="3" fontId="0" fillId="18" borderId="11" xfId="0" applyNumberFormat="1" applyFill="1" applyBorder="1" applyAlignment="1" applyProtection="1">
      <alignment horizontal="center" vertical="center"/>
      <protection locked="0"/>
    </xf>
    <xf numFmtId="3" fontId="10" fillId="34" borderId="24" xfId="0" applyNumberFormat="1" applyFont="1" applyFill="1" applyBorder="1" applyAlignment="1">
      <alignment horizontal="center" vertical="center"/>
    </xf>
    <xf numFmtId="3" fontId="10" fillId="18" borderId="11" xfId="0" applyNumberFormat="1" applyFont="1" applyFill="1" applyBorder="1" applyAlignment="1" applyProtection="1">
      <alignment horizontal="center" vertical="center"/>
      <protection locked="0"/>
    </xf>
    <xf numFmtId="3" fontId="10" fillId="34" borderId="27" xfId="0" applyNumberFormat="1" applyFont="1" applyFill="1" applyBorder="1" applyAlignment="1">
      <alignment horizontal="center" vertical="center"/>
    </xf>
    <xf numFmtId="0" fontId="10" fillId="18" borderId="0" xfId="0" applyFont="1" applyFill="1" applyAlignment="1">
      <alignment horizontal="center" vertical="center"/>
    </xf>
    <xf numFmtId="0" fontId="10" fillId="34" borderId="24" xfId="0" applyFont="1" applyFill="1" applyBorder="1" applyAlignment="1">
      <alignment horizontal="center" vertical="center"/>
    </xf>
    <xf numFmtId="3" fontId="10" fillId="34" borderId="37" xfId="0" applyNumberFormat="1" applyFont="1" applyFill="1" applyBorder="1" applyAlignment="1">
      <alignment horizontal="center" vertical="center"/>
    </xf>
    <xf numFmtId="0" fontId="10" fillId="34" borderId="12" xfId="0" applyFont="1" applyFill="1" applyBorder="1" applyAlignment="1">
      <alignment horizontal="center" vertical="center"/>
    </xf>
    <xf numFmtId="3" fontId="76" fillId="33" borderId="7" xfId="0" applyNumberFormat="1" applyFont="1" applyFill="1" applyBorder="1" applyAlignment="1">
      <alignment horizontal="center" vertical="center"/>
    </xf>
    <xf numFmtId="0" fontId="10" fillId="34" borderId="40" xfId="0" applyFont="1" applyFill="1" applyBorder="1" applyAlignment="1">
      <alignment horizontal="center" vertical="center"/>
    </xf>
    <xf numFmtId="4" fontId="5" fillId="18" borderId="36" xfId="0" applyNumberFormat="1" applyFont="1" applyFill="1" applyBorder="1" applyAlignment="1" applyProtection="1">
      <alignment horizontal="center" vertical="center"/>
      <protection locked="0"/>
    </xf>
    <xf numFmtId="4" fontId="0" fillId="18" borderId="17" xfId="0" applyNumberFormat="1" applyFill="1" applyBorder="1" applyAlignment="1" applyProtection="1">
      <alignment horizontal="center" vertical="center"/>
      <protection locked="0"/>
    </xf>
    <xf numFmtId="4" fontId="0" fillId="18" borderId="18" xfId="0" applyNumberFormat="1" applyFill="1" applyBorder="1" applyAlignment="1" applyProtection="1">
      <alignment horizontal="center" vertical="center"/>
      <protection locked="0"/>
    </xf>
    <xf numFmtId="4" fontId="10" fillId="34" borderId="3" xfId="0" applyNumberFormat="1" applyFont="1" applyFill="1" applyBorder="1" applyAlignment="1" applyProtection="1">
      <alignment horizontal="center" vertical="center"/>
      <protection locked="0"/>
    </xf>
    <xf numFmtId="4" fontId="10" fillId="34" borderId="4" xfId="0" applyNumberFormat="1" applyFont="1" applyFill="1" applyBorder="1" applyAlignment="1" applyProtection="1">
      <alignment horizontal="center" vertical="center"/>
      <protection locked="0"/>
    </xf>
    <xf numFmtId="4" fontId="10" fillId="34" borderId="7" xfId="0" applyNumberFormat="1" applyFont="1" applyFill="1" applyBorder="1" applyAlignment="1" applyProtection="1">
      <alignment horizontal="center" vertical="center"/>
      <protection locked="0"/>
    </xf>
    <xf numFmtId="0" fontId="5" fillId="18" borderId="0" xfId="0" applyFont="1" applyFill="1" applyAlignment="1">
      <alignment horizontal="center" vertical="center"/>
    </xf>
    <xf numFmtId="0" fontId="91" fillId="31" borderId="0" xfId="0" applyFont="1" applyFill="1" applyAlignment="1">
      <alignment horizontal="left" vertical="center" indent="1"/>
    </xf>
    <xf numFmtId="0" fontId="50" fillId="31" borderId="0" xfId="0" applyFont="1" applyFill="1" applyAlignment="1">
      <alignment vertical="center"/>
    </xf>
    <xf numFmtId="0" fontId="27" fillId="34" borderId="1" xfId="0" applyFont="1" applyFill="1" applyBorder="1" applyAlignment="1">
      <alignment horizontal="left" vertical="center" wrapText="1" indent="1"/>
    </xf>
    <xf numFmtId="0" fontId="10" fillId="2" borderId="11" xfId="0" applyFont="1" applyFill="1" applyBorder="1" applyAlignment="1" applyProtection="1">
      <alignment horizontal="left" vertical="center" wrapText="1" indent="1"/>
      <protection locked="0"/>
    </xf>
    <xf numFmtId="0" fontId="0" fillId="0" borderId="0" xfId="0" applyAlignment="1">
      <alignment horizontal="center"/>
    </xf>
    <xf numFmtId="0" fontId="95" fillId="36" borderId="1" xfId="0" applyFont="1" applyFill="1" applyBorder="1"/>
    <xf numFmtId="0" fontId="95" fillId="36" borderId="1" xfId="0" applyFont="1" applyFill="1" applyBorder="1" applyAlignment="1">
      <alignment horizontal="center"/>
    </xf>
    <xf numFmtId="0" fontId="95" fillId="0" borderId="1" xfId="0" applyFont="1" applyBorder="1"/>
    <xf numFmtId="0" fontId="0" fillId="0" borderId="1" xfId="0" applyBorder="1" applyAlignment="1">
      <alignment horizontal="center"/>
    </xf>
    <xf numFmtId="0" fontId="96" fillId="37" borderId="1" xfId="0" applyFont="1" applyFill="1" applyBorder="1" applyAlignment="1">
      <alignment horizontal="center" vertical="center"/>
    </xf>
    <xf numFmtId="0" fontId="97" fillId="33" borderId="1" xfId="0" applyFont="1" applyFill="1" applyBorder="1" applyAlignment="1">
      <alignment horizontal="center" vertical="center" textRotation="90" wrapText="1"/>
    </xf>
    <xf numFmtId="0" fontId="98" fillId="0" borderId="1" xfId="0" applyFont="1" applyBorder="1" applyAlignment="1">
      <alignment horizontal="center" vertical="center" wrapText="1"/>
    </xf>
    <xf numFmtId="3" fontId="40" fillId="39" borderId="0" xfId="0" applyNumberFormat="1" applyFont="1" applyFill="1" applyAlignment="1" applyProtection="1">
      <alignment vertical="center" wrapText="1"/>
      <protection locked="0"/>
    </xf>
    <xf numFmtId="0" fontId="95" fillId="36" borderId="10" xfId="0" applyFont="1" applyFill="1" applyBorder="1" applyAlignment="1">
      <alignment horizontal="center"/>
    </xf>
    <xf numFmtId="0" fontId="0" fillId="0" borderId="70" xfId="0" applyBorder="1" applyAlignment="1">
      <alignment horizontal="center"/>
    </xf>
    <xf numFmtId="0" fontId="95" fillId="36" borderId="70" xfId="0" applyFont="1" applyFill="1" applyBorder="1" applyAlignment="1">
      <alignment horizontal="center"/>
    </xf>
    <xf numFmtId="3" fontId="100" fillId="2" borderId="1" xfId="0" applyNumberFormat="1" applyFont="1" applyFill="1" applyBorder="1" applyAlignment="1" applyProtection="1">
      <alignment horizontal="center" vertical="center" wrapText="1"/>
      <protection locked="0"/>
    </xf>
    <xf numFmtId="0" fontId="1" fillId="18" borderId="0" xfId="0" applyFont="1" applyFill="1" applyAlignment="1">
      <alignment vertical="center"/>
    </xf>
    <xf numFmtId="0" fontId="1" fillId="18" borderId="0" xfId="0" applyFont="1" applyFill="1" applyAlignment="1">
      <alignment horizontal="center" vertical="center"/>
    </xf>
    <xf numFmtId="0" fontId="96" fillId="37" borderId="70" xfId="0" applyFont="1" applyFill="1" applyBorder="1" applyAlignment="1">
      <alignment horizontal="center" vertical="center" wrapText="1"/>
    </xf>
    <xf numFmtId="0" fontId="96" fillId="37" borderId="1" xfId="0" applyFont="1" applyFill="1" applyBorder="1" applyAlignment="1">
      <alignment horizontal="center" vertical="center" wrapText="1"/>
    </xf>
    <xf numFmtId="0" fontId="0" fillId="0" borderId="0" xfId="0" applyAlignment="1">
      <alignment wrapText="1"/>
    </xf>
    <xf numFmtId="165" fontId="0" fillId="0" borderId="0" xfId="2" applyNumberFormat="1" applyFont="1" applyAlignment="1">
      <alignment horizontal="center"/>
    </xf>
    <xf numFmtId="164" fontId="0" fillId="0" borderId="0" xfId="0" applyNumberFormat="1" applyAlignment="1">
      <alignment horizontal="center"/>
    </xf>
    <xf numFmtId="0" fontId="1" fillId="0" borderId="1" xfId="0" applyFont="1" applyBorder="1"/>
    <xf numFmtId="0" fontId="2" fillId="0" borderId="0" xfId="0" applyFont="1" applyAlignment="1">
      <alignment horizontal="center" vertical="center"/>
    </xf>
    <xf numFmtId="0" fontId="96" fillId="37" borderId="0" xfId="0" applyFont="1" applyFill="1" applyAlignment="1">
      <alignment horizontal="center" vertical="center" wrapText="1"/>
    </xf>
    <xf numFmtId="0" fontId="52" fillId="2" borderId="0" xfId="0" applyFont="1" applyFill="1" applyAlignment="1">
      <alignment horizontal="left" vertical="center"/>
    </xf>
    <xf numFmtId="0" fontId="50" fillId="2" borderId="0" xfId="0" applyFont="1" applyFill="1" applyAlignment="1">
      <alignment horizontal="center" vertical="center"/>
    </xf>
    <xf numFmtId="0" fontId="50" fillId="18" borderId="0" xfId="0" applyFont="1" applyFill="1" applyAlignment="1">
      <alignment horizontal="center" vertical="center" wrapText="1"/>
    </xf>
    <xf numFmtId="165" fontId="50" fillId="2" borderId="0" xfId="2" applyNumberFormat="1" applyFont="1" applyFill="1" applyAlignment="1">
      <alignment horizontal="center" vertical="center"/>
    </xf>
    <xf numFmtId="165" fontId="50" fillId="2" borderId="0" xfId="0" applyNumberFormat="1" applyFont="1" applyFill="1" applyAlignment="1">
      <alignment horizontal="center" vertical="center"/>
    </xf>
    <xf numFmtId="164" fontId="50" fillId="2" borderId="0" xfId="2" applyNumberFormat="1" applyFont="1" applyFill="1" applyAlignment="1">
      <alignment horizontal="center" vertical="center"/>
    </xf>
    <xf numFmtId="3" fontId="50" fillId="18" borderId="0" xfId="0" applyNumberFormat="1" applyFont="1" applyFill="1" applyAlignment="1">
      <alignment vertical="center"/>
    </xf>
    <xf numFmtId="3" fontId="50" fillId="18" borderId="0" xfId="0" applyNumberFormat="1" applyFont="1" applyFill="1" applyAlignment="1">
      <alignment horizontal="center" vertical="center"/>
    </xf>
    <xf numFmtId="165" fontId="50" fillId="18" borderId="0" xfId="2" applyNumberFormat="1" applyFont="1" applyFill="1" applyAlignment="1" applyProtection="1">
      <alignment horizontal="center" vertical="center"/>
    </xf>
    <xf numFmtId="165" fontId="50" fillId="18" borderId="0" xfId="0" applyNumberFormat="1" applyFont="1" applyFill="1" applyAlignment="1">
      <alignment vertical="center"/>
    </xf>
    <xf numFmtId="164" fontId="50" fillId="18" borderId="0" xfId="0" applyNumberFormat="1" applyFont="1" applyFill="1" applyAlignment="1">
      <alignment horizontal="center" vertical="center"/>
    </xf>
    <xf numFmtId="0" fontId="0" fillId="18" borderId="1" xfId="0" applyFill="1" applyBorder="1" applyAlignment="1">
      <alignment horizontal="center" vertical="center"/>
    </xf>
    <xf numFmtId="3" fontId="103" fillId="39" borderId="0" xfId="0" applyNumberFormat="1" applyFont="1" applyFill="1" applyAlignment="1" applyProtection="1">
      <alignment vertical="center" wrapText="1"/>
      <protection locked="0"/>
    </xf>
    <xf numFmtId="3" fontId="103" fillId="16" borderId="0" xfId="0" applyNumberFormat="1" applyFont="1" applyFill="1" applyAlignment="1" applyProtection="1">
      <alignment vertical="center" wrapText="1"/>
      <protection locked="0"/>
    </xf>
    <xf numFmtId="0" fontId="102" fillId="33" borderId="1" xfId="0" applyFont="1" applyFill="1" applyBorder="1" applyAlignment="1">
      <alignment horizontal="center"/>
    </xf>
    <xf numFmtId="0" fontId="102" fillId="33" borderId="1" xfId="0" applyFont="1" applyFill="1" applyBorder="1" applyAlignment="1">
      <alignment horizontal="center" vertical="center"/>
    </xf>
    <xf numFmtId="0" fontId="0" fillId="18" borderId="1" xfId="0" applyFill="1" applyBorder="1" applyAlignment="1">
      <alignment horizontal="center"/>
    </xf>
    <xf numFmtId="0" fontId="60" fillId="20" borderId="1" xfId="0" applyFont="1" applyFill="1" applyBorder="1" applyAlignment="1" applyProtection="1">
      <alignment horizontal="center" vertical="center" wrapText="1"/>
      <protection locked="0"/>
    </xf>
    <xf numFmtId="0" fontId="57" fillId="31" borderId="1" xfId="0" applyFont="1" applyFill="1" applyBorder="1" applyAlignment="1">
      <alignment vertical="center" wrapText="1"/>
    </xf>
    <xf numFmtId="0" fontId="57" fillId="18" borderId="0" xfId="0" applyFont="1" applyFill="1" applyAlignment="1">
      <alignment vertical="center" wrapText="1"/>
    </xf>
    <xf numFmtId="0" fontId="57" fillId="0" borderId="0" xfId="0" applyFont="1" applyAlignment="1">
      <alignment vertical="center" wrapText="1"/>
    </xf>
    <xf numFmtId="0" fontId="59" fillId="24" borderId="1" xfId="0" applyFont="1" applyFill="1" applyBorder="1" applyAlignment="1">
      <alignment horizontal="center" vertical="center" wrapText="1"/>
    </xf>
    <xf numFmtId="0" fontId="58" fillId="34" borderId="32" xfId="0" applyFont="1" applyFill="1" applyBorder="1" applyAlignment="1">
      <alignment horizontal="center" vertical="center" textRotation="90" wrapText="1"/>
    </xf>
    <xf numFmtId="0" fontId="60" fillId="20" borderId="1" xfId="0" applyFont="1" applyFill="1" applyBorder="1" applyAlignment="1">
      <alignment horizontal="center" vertical="center" wrapText="1"/>
    </xf>
    <xf numFmtId="0" fontId="60" fillId="0" borderId="1" xfId="0" applyFont="1" applyBorder="1" applyAlignment="1">
      <alignment horizontal="center" vertical="center"/>
    </xf>
    <xf numFmtId="0" fontId="57" fillId="0" borderId="1" xfId="0" applyFont="1" applyBorder="1" applyAlignment="1">
      <alignment horizontal="center" vertical="center" wrapText="1"/>
    </xf>
    <xf numFmtId="0" fontId="60" fillId="0" borderId="1" xfId="0" applyFont="1" applyBorder="1" applyAlignment="1">
      <alignment horizontal="center" vertical="center" wrapText="1"/>
    </xf>
    <xf numFmtId="0" fontId="63" fillId="30" borderId="1" xfId="0" applyFont="1" applyFill="1" applyBorder="1" applyAlignment="1">
      <alignment horizontal="center" vertical="center" wrapText="1"/>
    </xf>
    <xf numFmtId="9" fontId="63" fillId="30" borderId="1" xfId="0" applyNumberFormat="1" applyFont="1" applyFill="1" applyBorder="1" applyAlignment="1">
      <alignment horizontal="center" vertical="center" wrapText="1"/>
    </xf>
    <xf numFmtId="0" fontId="63" fillId="29" borderId="1" xfId="0" applyFont="1" applyFill="1" applyBorder="1" applyAlignment="1">
      <alignment horizontal="center" vertical="center" wrapText="1"/>
    </xf>
    <xf numFmtId="0" fontId="63" fillId="28" borderId="1" xfId="0" applyFont="1" applyFill="1" applyBorder="1" applyAlignment="1">
      <alignment horizontal="center" vertical="center" wrapText="1"/>
    </xf>
    <xf numFmtId="9" fontId="63" fillId="28" borderId="1" xfId="0" applyNumberFormat="1" applyFont="1" applyFill="1" applyBorder="1" applyAlignment="1">
      <alignment horizontal="center" vertical="center" wrapText="1"/>
    </xf>
    <xf numFmtId="0" fontId="93" fillId="31" borderId="1" xfId="0" applyFont="1" applyFill="1" applyBorder="1" applyAlignment="1">
      <alignment vertical="center" wrapText="1"/>
    </xf>
    <xf numFmtId="0" fontId="61" fillId="18" borderId="0" xfId="0" applyFont="1" applyFill="1" applyAlignment="1">
      <alignment horizontal="right" vertical="center" wrapText="1"/>
    </xf>
    <xf numFmtId="9" fontId="61" fillId="18" borderId="0" xfId="0" applyNumberFormat="1" applyFont="1" applyFill="1" applyAlignment="1">
      <alignment horizontal="left" vertical="center" wrapText="1"/>
    </xf>
    <xf numFmtId="0" fontId="61" fillId="18" borderId="0" xfId="0" applyFont="1" applyFill="1" applyAlignment="1">
      <alignment horizontal="center" vertical="center" wrapText="1"/>
    </xf>
    <xf numFmtId="0" fontId="62" fillId="18" borderId="0" xfId="0" applyFont="1" applyFill="1" applyAlignment="1">
      <alignment horizontal="right" vertical="center" wrapText="1"/>
    </xf>
    <xf numFmtId="9" fontId="62" fillId="18" borderId="0" xfId="0" applyNumberFormat="1" applyFont="1" applyFill="1" applyAlignment="1">
      <alignment horizontal="left" vertical="center" wrapText="1"/>
    </xf>
    <xf numFmtId="0" fontId="63" fillId="30" borderId="1" xfId="0" quotePrefix="1" applyFont="1" applyFill="1" applyBorder="1" applyAlignment="1">
      <alignment horizontal="center" vertical="center" wrapText="1"/>
    </xf>
    <xf numFmtId="9" fontId="63" fillId="30" borderId="1" xfId="2" applyFont="1" applyFill="1" applyBorder="1" applyAlignment="1" applyProtection="1">
      <alignment horizontal="center" vertical="center" wrapText="1"/>
    </xf>
    <xf numFmtId="9" fontId="63" fillId="28" borderId="1" xfId="2" applyFont="1" applyFill="1" applyBorder="1" applyAlignment="1" applyProtection="1">
      <alignment horizontal="center" vertical="center" wrapText="1"/>
    </xf>
    <xf numFmtId="0" fontId="94" fillId="31" borderId="1" xfId="0" applyFont="1" applyFill="1" applyBorder="1" applyAlignment="1">
      <alignment vertical="center"/>
    </xf>
    <xf numFmtId="0" fontId="57" fillId="18" borderId="0" xfId="0" applyFont="1" applyFill="1" applyAlignment="1">
      <alignment vertical="center"/>
    </xf>
    <xf numFmtId="0" fontId="57" fillId="0" borderId="0" xfId="0" applyFont="1" applyAlignment="1">
      <alignment vertical="center"/>
    </xf>
    <xf numFmtId="9" fontId="57" fillId="18" borderId="0" xfId="0" applyNumberFormat="1" applyFont="1" applyFill="1" applyAlignment="1">
      <alignment vertical="center" wrapText="1"/>
    </xf>
    <xf numFmtId="0" fontId="57" fillId="18" borderId="1" xfId="0" applyFont="1" applyFill="1" applyBorder="1" applyAlignment="1">
      <alignment horizontal="center" vertical="center" wrapText="1"/>
    </xf>
    <xf numFmtId="0" fontId="94" fillId="31" borderId="1" xfId="0" applyFont="1" applyFill="1" applyBorder="1" applyAlignment="1">
      <alignment horizontal="center" vertical="center" wrapText="1"/>
    </xf>
    <xf numFmtId="0" fontId="57" fillId="18" borderId="0" xfId="0" applyFont="1" applyFill="1" applyAlignment="1">
      <alignment horizontal="center" vertical="center" wrapText="1"/>
    </xf>
    <xf numFmtId="0" fontId="94" fillId="31" borderId="1" xfId="0" applyFont="1" applyFill="1" applyBorder="1" applyAlignment="1">
      <alignment vertical="center" wrapText="1"/>
    </xf>
    <xf numFmtId="0" fontId="101" fillId="0" borderId="0" xfId="0" quotePrefix="1" applyFont="1"/>
    <xf numFmtId="0" fontId="60" fillId="31" borderId="10" xfId="0" applyFont="1" applyFill="1" applyBorder="1" applyAlignment="1">
      <alignment horizontal="left" vertical="center"/>
    </xf>
    <xf numFmtId="0" fontId="58" fillId="31" borderId="1" xfId="0" applyFont="1" applyFill="1" applyBorder="1" applyAlignment="1">
      <alignment horizontal="left" vertical="center"/>
    </xf>
    <xf numFmtId="0" fontId="60" fillId="31" borderId="1" xfId="0" applyFont="1" applyFill="1" applyBorder="1" applyAlignment="1">
      <alignment horizontal="center" vertical="center" wrapText="1"/>
    </xf>
    <xf numFmtId="0" fontId="65" fillId="31" borderId="1" xfId="0" applyFont="1" applyFill="1" applyBorder="1" applyAlignment="1">
      <alignment horizontal="left" vertical="center" wrapText="1"/>
    </xf>
    <xf numFmtId="0" fontId="66" fillId="31" borderId="1" xfId="0" applyFont="1" applyFill="1" applyBorder="1" applyAlignment="1">
      <alignment horizontal="center" vertical="center" wrapText="1"/>
    </xf>
    <xf numFmtId="0" fontId="64" fillId="31" borderId="1" xfId="0" applyFont="1" applyFill="1" applyBorder="1" applyAlignment="1">
      <alignment horizontal="center" vertical="center" wrapText="1"/>
    </xf>
    <xf numFmtId="0" fontId="67" fillId="31" borderId="1" xfId="0" applyFont="1" applyFill="1" applyBorder="1" applyAlignment="1">
      <alignment horizontal="center" vertical="center" wrapText="1"/>
    </xf>
    <xf numFmtId="0" fontId="64" fillId="31" borderId="1" xfId="0" applyFont="1" applyFill="1" applyBorder="1" applyAlignment="1">
      <alignment vertical="center" wrapText="1"/>
    </xf>
    <xf numFmtId="0" fontId="57" fillId="18" borderId="0" xfId="0" applyFont="1" applyFill="1" applyAlignment="1">
      <alignment horizontal="left" vertical="center" wrapText="1"/>
    </xf>
    <xf numFmtId="0" fontId="60" fillId="18" borderId="0" xfId="0" applyFont="1" applyFill="1" applyAlignment="1">
      <alignment horizontal="left" vertical="center"/>
    </xf>
    <xf numFmtId="0" fontId="58" fillId="18" borderId="0" xfId="0" applyFont="1" applyFill="1" applyAlignment="1">
      <alignment horizontal="left" vertical="center"/>
    </xf>
    <xf numFmtId="0" fontId="60" fillId="18" borderId="0" xfId="0" applyFont="1" applyFill="1" applyAlignment="1">
      <alignment horizontal="center" vertical="center" wrapText="1"/>
    </xf>
    <xf numFmtId="0" fontId="65" fillId="18" borderId="0" xfId="0" applyFont="1" applyFill="1" applyAlignment="1">
      <alignment horizontal="left" vertical="center" wrapText="1"/>
    </xf>
    <xf numFmtId="0" fontId="65" fillId="18" borderId="0" xfId="0" applyFont="1" applyFill="1" applyAlignment="1">
      <alignment horizontal="center" vertical="center"/>
    </xf>
    <xf numFmtId="0" fontId="57" fillId="18" borderId="0" xfId="0" applyFont="1" applyFill="1" applyAlignment="1">
      <alignment horizontal="center" vertical="center"/>
    </xf>
    <xf numFmtId="0" fontId="60" fillId="18" borderId="0" xfId="0" applyFont="1" applyFill="1" applyAlignment="1">
      <alignment vertical="center" wrapText="1"/>
    </xf>
    <xf numFmtId="0" fontId="58" fillId="18" borderId="0" xfId="0" applyFont="1" applyFill="1" applyAlignment="1">
      <alignment vertical="center" wrapText="1"/>
    </xf>
    <xf numFmtId="0" fontId="58" fillId="0" borderId="0" xfId="0" applyFont="1" applyAlignment="1">
      <alignment vertical="center" wrapText="1"/>
    </xf>
    <xf numFmtId="0" fontId="60" fillId="0" borderId="0" xfId="0" applyFont="1" applyAlignment="1">
      <alignment horizontal="center" vertical="center" wrapText="1"/>
    </xf>
    <xf numFmtId="0" fontId="65" fillId="2" borderId="0" xfId="0" applyFont="1" applyFill="1" applyAlignment="1">
      <alignment horizontal="center" vertical="center"/>
    </xf>
    <xf numFmtId="0" fontId="57" fillId="2" borderId="0" xfId="0" applyFont="1" applyFill="1" applyAlignment="1">
      <alignment horizontal="center" vertical="center"/>
    </xf>
    <xf numFmtId="0" fontId="57" fillId="2" borderId="0" xfId="0" applyFont="1" applyFill="1" applyAlignment="1">
      <alignment horizontal="center" vertical="center" wrapText="1"/>
    </xf>
    <xf numFmtId="0" fontId="57" fillId="2" borderId="0" xfId="0" applyFont="1" applyFill="1" applyAlignment="1">
      <alignment vertical="center"/>
    </xf>
    <xf numFmtId="0" fontId="65" fillId="0" borderId="0" xfId="0" applyFont="1" applyAlignment="1">
      <alignment horizontal="center" vertical="center"/>
    </xf>
    <xf numFmtId="0" fontId="57" fillId="0" borderId="0" xfId="0" applyFont="1" applyAlignment="1">
      <alignment horizontal="center" vertical="center"/>
    </xf>
    <xf numFmtId="0" fontId="57" fillId="0" borderId="0" xfId="0" applyFont="1" applyAlignment="1">
      <alignment horizontal="center" vertical="center" wrapText="1"/>
    </xf>
    <xf numFmtId="0" fontId="60" fillId="0" borderId="0" xfId="0" applyFont="1" applyAlignment="1">
      <alignment vertical="center" wrapText="1"/>
    </xf>
    <xf numFmtId="0" fontId="79" fillId="33" borderId="1" xfId="0" applyFont="1" applyFill="1" applyBorder="1" applyAlignment="1">
      <alignment horizontal="center" vertical="center" wrapText="1"/>
    </xf>
    <xf numFmtId="0" fontId="58" fillId="34" borderId="1" xfId="0" applyFont="1" applyFill="1" applyBorder="1" applyAlignment="1">
      <alignment horizontal="center" vertical="center" textRotation="90" wrapText="1"/>
    </xf>
    <xf numFmtId="165" fontId="13" fillId="34" borderId="1" xfId="2" applyNumberFormat="1" applyFont="1" applyFill="1" applyBorder="1" applyAlignment="1" applyProtection="1">
      <alignment horizontal="center" vertical="center" wrapText="1"/>
    </xf>
    <xf numFmtId="165" fontId="11" fillId="35" borderId="1" xfId="2" applyNumberFormat="1" applyFont="1" applyFill="1" applyBorder="1" applyAlignment="1" applyProtection="1">
      <alignment horizontal="center" vertical="center" wrapText="1"/>
    </xf>
    <xf numFmtId="9" fontId="11" fillId="2" borderId="1" xfId="2" applyFont="1" applyFill="1" applyBorder="1" applyAlignment="1" applyProtection="1">
      <alignment horizontal="center" vertical="center" wrapText="1"/>
    </xf>
    <xf numFmtId="9" fontId="11" fillId="2" borderId="13" xfId="2" applyFont="1" applyFill="1" applyBorder="1" applyAlignment="1" applyProtection="1">
      <alignment horizontal="center" vertical="center" wrapText="1"/>
    </xf>
    <xf numFmtId="0" fontId="0" fillId="5" borderId="1" xfId="0" applyFill="1" applyBorder="1" applyAlignment="1">
      <alignment vertical="center" wrapText="1"/>
    </xf>
    <xf numFmtId="0" fontId="2" fillId="5"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11" fillId="4" borderId="13" xfId="0" applyFont="1" applyFill="1" applyBorder="1" applyAlignment="1">
      <alignment horizontal="center" vertical="center"/>
    </xf>
    <xf numFmtId="0" fontId="0" fillId="5" borderId="1" xfId="0" applyFill="1" applyBorder="1" applyAlignment="1">
      <alignment horizontal="left" vertical="center" wrapText="1"/>
    </xf>
    <xf numFmtId="0" fontId="11" fillId="6" borderId="1" xfId="0" applyFont="1" applyFill="1" applyBorder="1" applyAlignment="1">
      <alignment horizontal="center" vertical="center"/>
    </xf>
    <xf numFmtId="0" fontId="11" fillId="6" borderId="13" xfId="0" applyFont="1" applyFill="1" applyBorder="1" applyAlignment="1">
      <alignment horizontal="center" vertical="center"/>
    </xf>
    <xf numFmtId="1" fontId="11" fillId="13" borderId="1" xfId="0" applyNumberFormat="1" applyFont="1" applyFill="1" applyBorder="1" applyAlignment="1">
      <alignment horizontal="center" vertical="center"/>
    </xf>
    <xf numFmtId="1" fontId="11" fillId="13" borderId="13" xfId="0" applyNumberFormat="1" applyFont="1" applyFill="1" applyBorder="1" applyAlignment="1">
      <alignment horizontal="center" vertical="center"/>
    </xf>
    <xf numFmtId="0" fontId="2" fillId="5" borderId="13" xfId="0" applyFont="1" applyFill="1" applyBorder="1" applyAlignment="1">
      <alignment horizontal="center" vertical="center" wrapText="1"/>
    </xf>
    <xf numFmtId="0" fontId="87" fillId="31" borderId="0" xfId="0" applyFont="1" applyFill="1" applyAlignment="1">
      <alignment vertical="center"/>
    </xf>
    <xf numFmtId="0" fontId="2" fillId="2" borderId="0" xfId="0" applyFont="1" applyFill="1" applyAlignment="1">
      <alignment vertical="center" wrapText="1"/>
    </xf>
    <xf numFmtId="0" fontId="0" fillId="2" borderId="0" xfId="0" applyFill="1" applyAlignment="1">
      <alignment horizontal="center" vertical="center" wrapText="1"/>
    </xf>
    <xf numFmtId="0" fontId="3" fillId="2" borderId="0" xfId="0" applyFont="1" applyFill="1" applyAlignment="1">
      <alignment horizontal="left" vertical="center" wrapText="1"/>
    </xf>
    <xf numFmtId="0" fontId="31" fillId="2" borderId="0" xfId="0" applyFont="1" applyFill="1" applyAlignment="1">
      <alignment horizontal="center" vertical="center"/>
    </xf>
    <xf numFmtId="0" fontId="0" fillId="0" borderId="0" xfId="0" applyAlignment="1">
      <alignment vertical="center"/>
    </xf>
    <xf numFmtId="0" fontId="79" fillId="33" borderId="45" xfId="0" applyFont="1" applyFill="1" applyBorder="1" applyAlignment="1">
      <alignment horizontal="center" vertical="center" wrapText="1"/>
    </xf>
    <xf numFmtId="0" fontId="79" fillId="33" borderId="58" xfId="0" applyFont="1" applyFill="1" applyBorder="1" applyAlignment="1">
      <alignment horizontal="center" vertical="center" wrapText="1"/>
    </xf>
    <xf numFmtId="0" fontId="10" fillId="0" borderId="0" xfId="0" applyFont="1" applyAlignment="1">
      <alignment vertical="center"/>
    </xf>
    <xf numFmtId="0" fontId="12" fillId="23" borderId="1" xfId="0" applyFont="1" applyFill="1" applyBorder="1" applyAlignment="1">
      <alignment horizontal="center" vertical="center" wrapText="1"/>
    </xf>
    <xf numFmtId="0" fontId="12" fillId="23" borderId="14" xfId="0" applyFont="1" applyFill="1" applyBorder="1" applyAlignment="1">
      <alignment horizontal="center" vertical="center" wrapText="1"/>
    </xf>
    <xf numFmtId="0" fontId="41" fillId="21" borderId="1" xfId="0" applyFont="1" applyFill="1" applyBorder="1" applyAlignment="1">
      <alignment horizontal="center" vertical="center" wrapText="1"/>
    </xf>
    <xf numFmtId="0" fontId="60" fillId="12" borderId="1" xfId="0" applyFont="1" applyFill="1" applyBorder="1" applyAlignment="1">
      <alignment horizontal="center" vertical="center" wrapText="1"/>
    </xf>
    <xf numFmtId="9" fontId="14" fillId="2" borderId="1" xfId="2" applyFont="1" applyFill="1" applyBorder="1" applyAlignment="1" applyProtection="1">
      <alignment horizontal="center" vertical="center" wrapText="1"/>
    </xf>
    <xf numFmtId="0" fontId="31" fillId="2" borderId="1" xfId="0" applyFont="1" applyFill="1" applyBorder="1" applyAlignment="1">
      <alignment horizontal="center" vertical="center"/>
    </xf>
    <xf numFmtId="9" fontId="14" fillId="2" borderId="14" xfId="2" applyFont="1" applyFill="1" applyBorder="1" applyAlignment="1" applyProtection="1">
      <alignment horizontal="center" vertical="center" wrapText="1"/>
    </xf>
    <xf numFmtId="0" fontId="5" fillId="18" borderId="0" xfId="0" applyFont="1" applyFill="1" applyAlignment="1">
      <alignment horizontal="center" vertical="center" textRotation="90" wrapText="1"/>
    </xf>
    <xf numFmtId="0" fontId="5" fillId="0" borderId="0" xfId="0" applyFont="1" applyAlignment="1">
      <alignment horizontal="center" vertical="center" textRotation="90" wrapText="1"/>
    </xf>
    <xf numFmtId="0" fontId="9" fillId="7" borderId="23" xfId="0" applyFont="1" applyFill="1" applyBorder="1" applyAlignment="1">
      <alignment horizontal="left" vertical="center" indent="1"/>
    </xf>
    <xf numFmtId="0" fontId="9" fillId="4" borderId="65" xfId="0" applyFont="1" applyFill="1" applyBorder="1" applyAlignment="1">
      <alignment horizontal="center" vertical="center"/>
    </xf>
    <xf numFmtId="0" fontId="9" fillId="4" borderId="22" xfId="0" applyFont="1" applyFill="1" applyBorder="1" applyAlignment="1">
      <alignment horizontal="center" vertical="center"/>
    </xf>
    <xf numFmtId="0" fontId="9" fillId="25" borderId="62" xfId="0" applyFont="1" applyFill="1" applyBorder="1" applyAlignment="1">
      <alignment horizontal="center" vertical="center"/>
    </xf>
    <xf numFmtId="0" fontId="9" fillId="4" borderId="35" xfId="0" applyFont="1" applyFill="1" applyBorder="1" applyAlignment="1">
      <alignment horizontal="center" vertical="center"/>
    </xf>
    <xf numFmtId="0" fontId="9" fillId="4" borderId="45" xfId="0" applyFont="1" applyFill="1" applyBorder="1" applyAlignment="1">
      <alignment horizontal="center" vertical="center"/>
    </xf>
    <xf numFmtId="0" fontId="9" fillId="4" borderId="23" xfId="0" applyFont="1" applyFill="1" applyBorder="1" applyAlignment="1">
      <alignment horizontal="center" vertical="center"/>
    </xf>
    <xf numFmtId="0" fontId="9" fillId="8" borderId="20" xfId="0" applyFont="1" applyFill="1" applyBorder="1" applyAlignment="1">
      <alignment horizontal="left" vertical="center" indent="1"/>
    </xf>
    <xf numFmtId="0" fontId="9" fillId="6" borderId="33" xfId="0" applyFont="1" applyFill="1" applyBorder="1" applyAlignment="1">
      <alignment horizontal="center" vertical="center"/>
    </xf>
    <xf numFmtId="0" fontId="9" fillId="6" borderId="27" xfId="0" applyFont="1" applyFill="1" applyBorder="1" applyAlignment="1">
      <alignment horizontal="center" vertical="center"/>
    </xf>
    <xf numFmtId="0" fontId="9" fillId="25" borderId="63" xfId="0" applyFont="1" applyFill="1" applyBorder="1" applyAlignment="1">
      <alignment horizontal="center" vertical="center"/>
    </xf>
    <xf numFmtId="0" fontId="9" fillId="6" borderId="32" xfId="0" applyFont="1" applyFill="1" applyBorder="1" applyAlignment="1">
      <alignment horizontal="center" vertical="center"/>
    </xf>
    <xf numFmtId="0" fontId="9" fillId="6" borderId="1" xfId="0" applyFont="1" applyFill="1" applyBorder="1" applyAlignment="1">
      <alignment horizontal="center" vertical="center"/>
    </xf>
    <xf numFmtId="0" fontId="9" fillId="6" borderId="20" xfId="0" applyFont="1" applyFill="1" applyBorder="1" applyAlignment="1">
      <alignment horizontal="center" vertical="center"/>
    </xf>
    <xf numFmtId="0" fontId="9" fillId="9" borderId="59" xfId="0" applyFont="1" applyFill="1" applyBorder="1" applyAlignment="1">
      <alignment horizontal="left" vertical="center" indent="1"/>
    </xf>
    <xf numFmtId="1" fontId="9" fillId="13" borderId="66" xfId="0" applyNumberFormat="1" applyFont="1" applyFill="1" applyBorder="1" applyAlignment="1">
      <alignment horizontal="center" vertical="center"/>
    </xf>
    <xf numFmtId="1" fontId="9" fillId="13" borderId="37" xfId="0" applyNumberFormat="1" applyFont="1" applyFill="1" applyBorder="1" applyAlignment="1">
      <alignment horizontal="center" vertical="center"/>
    </xf>
    <xf numFmtId="1" fontId="9" fillId="25" borderId="63" xfId="0" applyNumberFormat="1" applyFont="1" applyFill="1" applyBorder="1" applyAlignment="1">
      <alignment horizontal="center" vertical="center"/>
    </xf>
    <xf numFmtId="1" fontId="9" fillId="13" borderId="53" xfId="0" applyNumberFormat="1" applyFont="1" applyFill="1" applyBorder="1" applyAlignment="1">
      <alignment horizontal="center" vertical="center"/>
    </xf>
    <xf numFmtId="1" fontId="9" fillId="13" borderId="29" xfId="0" applyNumberFormat="1" applyFont="1" applyFill="1" applyBorder="1" applyAlignment="1">
      <alignment horizontal="center" vertical="center"/>
    </xf>
    <xf numFmtId="1" fontId="9" fillId="13" borderId="31" xfId="0" applyNumberFormat="1" applyFont="1" applyFill="1" applyBorder="1" applyAlignment="1">
      <alignment horizontal="center" vertical="center"/>
    </xf>
    <xf numFmtId="1" fontId="9" fillId="13" borderId="21" xfId="0" applyNumberFormat="1" applyFont="1" applyFill="1" applyBorder="1" applyAlignment="1">
      <alignment horizontal="center" vertical="center"/>
    </xf>
    <xf numFmtId="0" fontId="9" fillId="27" borderId="6" xfId="0" applyFont="1" applyFill="1" applyBorder="1" applyAlignment="1">
      <alignment horizontal="left" vertical="center" wrapText="1" indent="1"/>
    </xf>
    <xf numFmtId="0" fontId="42" fillId="22" borderId="49" xfId="0" applyFont="1" applyFill="1" applyBorder="1" applyAlignment="1">
      <alignment horizontal="center" vertical="center" wrapText="1"/>
    </xf>
    <xf numFmtId="0" fontId="42" fillId="22" borderId="38" xfId="0" applyFont="1" applyFill="1" applyBorder="1" applyAlignment="1">
      <alignment horizontal="center" vertical="center" wrapText="1"/>
    </xf>
    <xf numFmtId="0" fontId="42" fillId="25" borderId="42" xfId="0" applyFont="1" applyFill="1" applyBorder="1" applyAlignment="1">
      <alignment horizontal="center" vertical="center" wrapText="1"/>
    </xf>
    <xf numFmtId="0" fontId="42" fillId="22" borderId="61" xfId="0" applyFont="1" applyFill="1" applyBorder="1" applyAlignment="1">
      <alignment horizontal="center" vertical="center" wrapText="1"/>
    </xf>
    <xf numFmtId="0" fontId="42" fillId="22" borderId="4" xfId="0" applyFont="1" applyFill="1" applyBorder="1" applyAlignment="1">
      <alignment horizontal="center" vertical="center" wrapText="1"/>
    </xf>
    <xf numFmtId="0" fontId="42" fillId="22" borderId="6" xfId="0" applyFont="1" applyFill="1" applyBorder="1" applyAlignment="1">
      <alignment horizontal="center" vertical="center" wrapText="1"/>
    </xf>
    <xf numFmtId="0" fontId="0" fillId="2" borderId="0" xfId="0" applyFill="1" applyAlignment="1">
      <alignment horizontal="left" vertical="center"/>
    </xf>
    <xf numFmtId="0" fontId="0" fillId="0" borderId="0" xfId="0" applyAlignment="1">
      <alignment vertical="center" wrapText="1"/>
    </xf>
    <xf numFmtId="0" fontId="0" fillId="0" borderId="0" xfId="0" applyAlignment="1">
      <alignment horizontal="center" vertical="center" wrapText="1"/>
    </xf>
    <xf numFmtId="0" fontId="3" fillId="0" borderId="0" xfId="0" applyFont="1" applyAlignment="1">
      <alignment horizontal="left" vertical="center" wrapText="1"/>
    </xf>
    <xf numFmtId="0" fontId="84" fillId="33" borderId="0" xfId="0" applyFont="1" applyFill="1" applyAlignment="1">
      <alignment vertical="center"/>
    </xf>
    <xf numFmtId="0" fontId="32" fillId="18" borderId="0" xfId="0" applyFont="1" applyFill="1" applyAlignment="1">
      <alignment vertical="center"/>
    </xf>
    <xf numFmtId="0" fontId="34" fillId="18" borderId="0" xfId="0" applyFont="1" applyFill="1" applyAlignment="1">
      <alignment vertical="center"/>
    </xf>
    <xf numFmtId="0" fontId="19" fillId="18" borderId="0" xfId="0" applyFont="1" applyFill="1" applyAlignment="1">
      <alignment vertical="center"/>
    </xf>
    <xf numFmtId="0" fontId="18" fillId="2" borderId="0" xfId="0" applyFont="1" applyFill="1" applyAlignment="1">
      <alignment vertical="center"/>
    </xf>
    <xf numFmtId="0" fontId="18" fillId="7" borderId="3" xfId="0" applyFont="1" applyFill="1" applyBorder="1" applyAlignment="1">
      <alignment horizontal="center" vertical="center"/>
    </xf>
    <xf numFmtId="0" fontId="18" fillId="8" borderId="4" xfId="0" applyFont="1" applyFill="1" applyBorder="1" applyAlignment="1">
      <alignment horizontal="center" vertical="center"/>
    </xf>
    <xf numFmtId="0" fontId="18" fillId="9" borderId="7" xfId="0" applyFont="1" applyFill="1" applyBorder="1" applyAlignment="1">
      <alignment horizontal="center" vertical="center"/>
    </xf>
    <xf numFmtId="0" fontId="18" fillId="10" borderId="6" xfId="0" applyFont="1" applyFill="1" applyBorder="1" applyAlignment="1">
      <alignment horizontal="center" vertical="center"/>
    </xf>
    <xf numFmtId="0" fontId="18" fillId="2" borderId="8" xfId="0" applyFont="1" applyFill="1" applyBorder="1" applyAlignment="1">
      <alignment vertical="center"/>
    </xf>
    <xf numFmtId="0" fontId="18" fillId="2" borderId="9" xfId="0" applyFont="1" applyFill="1" applyBorder="1" applyAlignment="1">
      <alignment vertical="center"/>
    </xf>
    <xf numFmtId="0" fontId="20" fillId="2" borderId="8" xfId="0" applyFont="1" applyFill="1" applyBorder="1" applyAlignment="1">
      <alignment horizontal="center" vertical="center"/>
    </xf>
    <xf numFmtId="0" fontId="20" fillId="2" borderId="10" xfId="0" applyFont="1" applyFill="1" applyBorder="1" applyAlignment="1">
      <alignment horizontal="center" vertical="center"/>
    </xf>
    <xf numFmtId="0" fontId="20" fillId="2" borderId="11" xfId="0" applyFont="1" applyFill="1" applyBorder="1" applyAlignment="1">
      <alignment horizontal="center" vertical="center"/>
    </xf>
    <xf numFmtId="0" fontId="18" fillId="2" borderId="19" xfId="0" applyFont="1" applyFill="1" applyBorder="1" applyAlignment="1">
      <alignment horizontal="center" vertical="center"/>
    </xf>
    <xf numFmtId="0" fontId="18" fillId="2" borderId="12" xfId="0" applyFont="1" applyFill="1" applyBorder="1" applyAlignment="1">
      <alignment vertical="center"/>
    </xf>
    <xf numFmtId="0" fontId="18" fillId="2" borderId="13" xfId="0" applyFont="1" applyFill="1" applyBorder="1" applyAlignment="1">
      <alignment vertical="center"/>
    </xf>
    <xf numFmtId="0" fontId="20" fillId="2" borderId="12"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14" xfId="0" applyFont="1" applyFill="1" applyBorder="1" applyAlignment="1">
      <alignment horizontal="center" vertical="center"/>
    </xf>
    <xf numFmtId="0" fontId="18" fillId="2" borderId="20" xfId="0" applyFont="1" applyFill="1" applyBorder="1" applyAlignment="1">
      <alignment horizontal="center" vertical="center"/>
    </xf>
    <xf numFmtId="0" fontId="18" fillId="2" borderId="15" xfId="0" applyFont="1" applyFill="1" applyBorder="1" applyAlignment="1">
      <alignment vertical="center"/>
    </xf>
    <xf numFmtId="0" fontId="18" fillId="2" borderId="16" xfId="0" applyFont="1" applyFill="1" applyBorder="1" applyAlignment="1">
      <alignment vertical="center"/>
    </xf>
    <xf numFmtId="0" fontId="20" fillId="2" borderId="15" xfId="0" applyFont="1" applyFill="1" applyBorder="1" applyAlignment="1">
      <alignment horizontal="center" vertical="center"/>
    </xf>
    <xf numFmtId="0" fontId="20" fillId="2" borderId="17" xfId="0" applyFont="1" applyFill="1" applyBorder="1" applyAlignment="1">
      <alignment horizontal="center" vertical="center"/>
    </xf>
    <xf numFmtId="0" fontId="20" fillId="2" borderId="18" xfId="0" applyFont="1" applyFill="1" applyBorder="1" applyAlignment="1">
      <alignment horizontal="center" vertical="center"/>
    </xf>
    <xf numFmtId="0" fontId="18" fillId="2" borderId="21"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0" xfId="0" applyFont="1" applyFill="1" applyAlignment="1">
      <alignment horizontal="center" vertical="center"/>
    </xf>
    <xf numFmtId="0" fontId="20" fillId="2" borderId="0" xfId="0" applyFont="1" applyFill="1" applyAlignment="1">
      <alignment horizontal="center" vertical="center"/>
    </xf>
    <xf numFmtId="0" fontId="18" fillId="9" borderId="5" xfId="0" applyFont="1" applyFill="1" applyBorder="1" applyAlignment="1">
      <alignment horizontal="center" vertical="center"/>
    </xf>
    <xf numFmtId="0" fontId="48" fillId="2" borderId="0" xfId="0" applyFont="1" applyFill="1" applyAlignment="1">
      <alignment vertical="center"/>
    </xf>
    <xf numFmtId="0" fontId="18" fillId="2" borderId="44" xfId="0" applyFont="1" applyFill="1" applyBorder="1" applyAlignment="1">
      <alignment horizontal="center" vertical="center"/>
    </xf>
    <xf numFmtId="0" fontId="18" fillId="2" borderId="25" xfId="0" applyFont="1" applyFill="1" applyBorder="1" applyAlignment="1">
      <alignment vertical="center"/>
    </xf>
    <xf numFmtId="0" fontId="20" fillId="2" borderId="44" xfId="0" applyFont="1" applyFill="1" applyBorder="1" applyAlignment="1">
      <alignment horizontal="center" vertical="center"/>
    </xf>
    <xf numFmtId="0" fontId="18" fillId="2" borderId="23" xfId="0" applyFont="1" applyFill="1" applyBorder="1" applyAlignment="1">
      <alignment horizontal="center" vertical="center"/>
    </xf>
    <xf numFmtId="4" fontId="20" fillId="5" borderId="23" xfId="0" applyNumberFormat="1" applyFont="1" applyFill="1" applyBorder="1" applyAlignment="1">
      <alignment horizontal="center" vertical="center"/>
    </xf>
    <xf numFmtId="0" fontId="18" fillId="2" borderId="12" xfId="0" applyFont="1" applyFill="1" applyBorder="1" applyAlignment="1">
      <alignment horizontal="center" vertical="center"/>
    </xf>
    <xf numFmtId="4" fontId="20" fillId="5" borderId="19" xfId="0" applyNumberFormat="1" applyFont="1" applyFill="1" applyBorder="1" applyAlignment="1">
      <alignment horizontal="center" vertical="center"/>
    </xf>
    <xf numFmtId="0" fontId="49" fillId="2" borderId="0" xfId="0" applyFont="1" applyFill="1" applyAlignment="1">
      <alignment vertical="center"/>
    </xf>
    <xf numFmtId="0" fontId="18" fillId="2" borderId="15" xfId="0" applyFont="1" applyFill="1" applyBorder="1" applyAlignment="1">
      <alignment horizontal="center" vertical="center"/>
    </xf>
    <xf numFmtId="0" fontId="18" fillId="2" borderId="46" xfId="0" applyFont="1" applyFill="1" applyBorder="1" applyAlignment="1">
      <alignment vertical="center"/>
    </xf>
    <xf numFmtId="4" fontId="20" fillId="5" borderId="43" xfId="0" applyNumberFormat="1" applyFont="1" applyFill="1" applyBorder="1" applyAlignment="1">
      <alignment horizontal="center" vertical="center"/>
    </xf>
    <xf numFmtId="4" fontId="49" fillId="2" borderId="0" xfId="0" applyNumberFormat="1" applyFont="1" applyFill="1" applyAlignment="1">
      <alignment vertical="center"/>
    </xf>
    <xf numFmtId="0" fontId="18" fillId="2" borderId="40" xfId="0" applyFont="1" applyFill="1" applyBorder="1" applyAlignment="1">
      <alignment horizontal="center" vertical="center"/>
    </xf>
    <xf numFmtId="0" fontId="18" fillId="2" borderId="41" xfId="0" applyFont="1" applyFill="1" applyBorder="1" applyAlignment="1">
      <alignment horizontal="center" vertical="center"/>
    </xf>
    <xf numFmtId="0" fontId="18" fillId="2" borderId="39" xfId="0" applyFont="1" applyFill="1" applyBorder="1" applyAlignment="1">
      <alignment horizontal="center" vertical="center"/>
    </xf>
    <xf numFmtId="0" fontId="18" fillId="2" borderId="42" xfId="0" applyFont="1" applyFill="1" applyBorder="1" applyAlignment="1">
      <alignment horizontal="center" vertical="center"/>
    </xf>
    <xf numFmtId="4" fontId="18" fillId="11" borderId="43" xfId="0" applyNumberFormat="1" applyFont="1" applyFill="1" applyBorder="1" applyAlignment="1">
      <alignment horizontal="center" vertical="center"/>
    </xf>
    <xf numFmtId="9" fontId="21" fillId="2" borderId="6" xfId="2" applyFont="1" applyFill="1" applyBorder="1" applyAlignment="1" applyProtection="1">
      <alignment horizontal="center" vertical="center" wrapText="1"/>
    </xf>
    <xf numFmtId="165" fontId="18" fillId="2" borderId="3" xfId="2" applyNumberFormat="1" applyFont="1" applyFill="1" applyBorder="1" applyAlignment="1" applyProtection="1">
      <alignment horizontal="center" vertical="center"/>
    </xf>
    <xf numFmtId="165" fontId="18" fillId="2" borderId="4" xfId="2" applyNumberFormat="1" applyFont="1" applyFill="1" applyBorder="1" applyAlignment="1" applyProtection="1">
      <alignment horizontal="center" vertical="center"/>
    </xf>
    <xf numFmtId="165" fontId="18" fillId="2" borderId="7" xfId="2" applyNumberFormat="1" applyFont="1" applyFill="1" applyBorder="1" applyAlignment="1" applyProtection="1">
      <alignment horizontal="center" vertical="center"/>
    </xf>
    <xf numFmtId="4" fontId="18" fillId="0" borderId="0" xfId="0" applyNumberFormat="1" applyFont="1" applyAlignment="1">
      <alignment horizontal="center" vertical="center"/>
    </xf>
    <xf numFmtId="9" fontId="14" fillId="2" borderId="0" xfId="2" applyFont="1" applyFill="1" applyBorder="1" applyAlignment="1" applyProtection="1">
      <alignment horizontal="center" vertical="center" wrapText="1"/>
    </xf>
    <xf numFmtId="0" fontId="36" fillId="6" borderId="0" xfId="0" applyFont="1" applyFill="1" applyAlignment="1">
      <alignment horizontal="left" vertical="center"/>
    </xf>
    <xf numFmtId="0" fontId="37" fillId="6" borderId="0" xfId="0" applyFont="1" applyFill="1" applyAlignment="1">
      <alignment horizontal="left" vertical="center"/>
    </xf>
    <xf numFmtId="0" fontId="35" fillId="6" borderId="0" xfId="0" applyFont="1" applyFill="1" applyAlignment="1">
      <alignment vertical="center"/>
    </xf>
    <xf numFmtId="0" fontId="43" fillId="6" borderId="0" xfId="0" applyFont="1" applyFill="1" applyAlignment="1">
      <alignment vertical="center"/>
    </xf>
    <xf numFmtId="0" fontId="36" fillId="6" borderId="0" xfId="0" applyFont="1" applyFill="1" applyAlignment="1">
      <alignment vertical="center"/>
    </xf>
    <xf numFmtId="0" fontId="36" fillId="2" borderId="0" xfId="0" applyFont="1" applyFill="1" applyAlignment="1">
      <alignment vertical="center"/>
    </xf>
    <xf numFmtId="0" fontId="38" fillId="18" borderId="0" xfId="0" applyFont="1" applyFill="1" applyAlignment="1">
      <alignment horizontal="left" vertical="center"/>
    </xf>
    <xf numFmtId="0" fontId="37" fillId="18" borderId="0" xfId="0" applyFont="1" applyFill="1" applyAlignment="1">
      <alignment horizontal="left" vertical="center"/>
    </xf>
    <xf numFmtId="0" fontId="35" fillId="18" borderId="0" xfId="0" applyFont="1" applyFill="1" applyAlignment="1">
      <alignment vertical="center"/>
    </xf>
    <xf numFmtId="0" fontId="39" fillId="18" borderId="0" xfId="0" applyFont="1" applyFill="1" applyAlignment="1">
      <alignment horizontal="left" vertical="center"/>
    </xf>
    <xf numFmtId="0" fontId="36" fillId="18" borderId="0" xfId="0" applyFont="1" applyFill="1" applyAlignment="1">
      <alignment vertical="center"/>
    </xf>
    <xf numFmtId="0" fontId="38" fillId="6" borderId="0" xfId="0" applyFont="1" applyFill="1" applyAlignment="1">
      <alignment horizontal="left" vertical="center"/>
    </xf>
    <xf numFmtId="0" fontId="38" fillId="6" borderId="0" xfId="0" applyFont="1" applyFill="1" applyAlignment="1">
      <alignment vertical="center"/>
    </xf>
    <xf numFmtId="0" fontId="38" fillId="2" borderId="0" xfId="0" applyFont="1" applyFill="1" applyAlignment="1">
      <alignment vertical="center"/>
    </xf>
    <xf numFmtId="0" fontId="19" fillId="6" borderId="0" xfId="0" applyFont="1" applyFill="1" applyAlignment="1">
      <alignment horizontal="center" vertical="center"/>
    </xf>
    <xf numFmtId="0" fontId="18" fillId="18" borderId="0" xfId="0" applyFont="1" applyFill="1" applyAlignment="1">
      <alignment vertical="center"/>
    </xf>
    <xf numFmtId="9" fontId="18" fillId="2" borderId="3" xfId="2" applyFont="1" applyFill="1" applyBorder="1" applyAlignment="1" applyProtection="1">
      <alignment horizontal="center" vertical="center"/>
    </xf>
    <xf numFmtId="9" fontId="18" fillId="2" borderId="4" xfId="2" applyFont="1" applyFill="1" applyBorder="1" applyAlignment="1" applyProtection="1">
      <alignment horizontal="center" vertical="center"/>
    </xf>
    <xf numFmtId="9" fontId="18" fillId="2" borderId="7" xfId="2" applyFont="1" applyFill="1" applyBorder="1" applyAlignment="1" applyProtection="1">
      <alignment horizontal="center" vertical="center"/>
    </xf>
    <xf numFmtId="4" fontId="18" fillId="11" borderId="6" xfId="0" applyNumberFormat="1" applyFont="1" applyFill="1" applyBorder="1" applyAlignment="1">
      <alignment horizontal="center" vertical="center"/>
    </xf>
    <xf numFmtId="0" fontId="18" fillId="0" borderId="0" xfId="0" applyFont="1" applyAlignment="1">
      <alignment vertical="center"/>
    </xf>
    <xf numFmtId="0" fontId="33" fillId="31" borderId="0" xfId="0" applyFont="1" applyFill="1" applyAlignment="1" applyProtection="1">
      <alignment horizontal="left" vertical="center"/>
      <protection locked="0"/>
    </xf>
    <xf numFmtId="0" fontId="33" fillId="31" borderId="0" xfId="0" applyFont="1" applyFill="1" applyAlignment="1" applyProtection="1">
      <alignment horizontal="left" vertical="center" wrapText="1"/>
      <protection locked="0"/>
    </xf>
    <xf numFmtId="0" fontId="81" fillId="31" borderId="0" xfId="0" applyFont="1" applyFill="1" applyAlignment="1" applyProtection="1">
      <alignment horizontal="left" vertical="center" wrapText="1"/>
      <protection locked="0"/>
    </xf>
    <xf numFmtId="0" fontId="82" fillId="31" borderId="0" xfId="0" applyFont="1" applyFill="1" applyAlignment="1" applyProtection="1">
      <alignment horizontal="left" vertical="center" wrapText="1"/>
      <protection locked="0"/>
    </xf>
    <xf numFmtId="0" fontId="33" fillId="31" borderId="0" xfId="0" applyFont="1" applyFill="1" applyAlignment="1" applyProtection="1">
      <alignment horizontal="center" vertical="center" wrapText="1"/>
      <protection locked="0"/>
    </xf>
    <xf numFmtId="0" fontId="0" fillId="31" borderId="0" xfId="0" applyFill="1" applyProtection="1">
      <protection locked="0"/>
    </xf>
    <xf numFmtId="0" fontId="0" fillId="39" borderId="0" xfId="0" applyFill="1" applyProtection="1">
      <protection locked="0"/>
    </xf>
    <xf numFmtId="0" fontId="2" fillId="34" borderId="0" xfId="0" applyFont="1" applyFill="1" applyAlignment="1" applyProtection="1">
      <alignment vertical="center" wrapText="1"/>
      <protection locked="0"/>
    </xf>
    <xf numFmtId="0" fontId="0" fillId="34" borderId="0" xfId="0" applyFill="1" applyAlignment="1" applyProtection="1">
      <alignment vertical="center" wrapText="1"/>
      <protection locked="0"/>
    </xf>
    <xf numFmtId="0" fontId="0" fillId="34" borderId="0" xfId="0" applyFill="1" applyAlignment="1" applyProtection="1">
      <alignment horizontal="center" vertical="center" wrapText="1"/>
      <protection locked="0"/>
    </xf>
    <xf numFmtId="0" fontId="3" fillId="34" borderId="0" xfId="0" applyFont="1" applyFill="1" applyAlignment="1" applyProtection="1">
      <alignment horizontal="left" vertical="center" wrapText="1"/>
      <protection locked="0"/>
    </xf>
    <xf numFmtId="0" fontId="28" fillId="34" borderId="0" xfId="0" applyFont="1" applyFill="1" applyAlignment="1" applyProtection="1">
      <alignment horizontal="left" vertical="center" wrapText="1"/>
      <protection locked="0"/>
    </xf>
    <xf numFmtId="0" fontId="10" fillId="34" borderId="0" xfId="0" applyFont="1" applyFill="1" applyAlignment="1" applyProtection="1">
      <alignment vertical="center" wrapText="1"/>
      <protection locked="0"/>
    </xf>
    <xf numFmtId="0" fontId="0" fillId="34" borderId="0" xfId="0" applyFill="1" applyProtection="1">
      <protection locked="0"/>
    </xf>
    <xf numFmtId="0" fontId="79" fillId="33" borderId="0" xfId="0" applyFont="1" applyFill="1" applyAlignment="1" applyProtection="1">
      <alignment horizontal="center" vertical="center" wrapText="1"/>
      <protection locked="0"/>
    </xf>
    <xf numFmtId="0" fontId="27" fillId="34" borderId="6" xfId="0" applyFont="1" applyFill="1" applyBorder="1" applyAlignment="1" applyProtection="1">
      <alignment horizontal="center" vertical="center" wrapText="1"/>
      <protection locked="0"/>
    </xf>
    <xf numFmtId="0" fontId="11" fillId="34" borderId="0" xfId="0" applyFont="1" applyFill="1" applyAlignment="1" applyProtection="1">
      <alignment horizontal="center" vertical="center" wrapText="1"/>
      <protection locked="0"/>
    </xf>
    <xf numFmtId="0" fontId="0" fillId="0" borderId="0" xfId="0" applyProtection="1">
      <protection locked="0"/>
    </xf>
    <xf numFmtId="0" fontId="77" fillId="33" borderId="1" xfId="0" applyFont="1" applyFill="1" applyBorder="1" applyAlignment="1" applyProtection="1">
      <alignment horizontal="center" vertical="center" wrapText="1"/>
      <protection locked="0"/>
    </xf>
    <xf numFmtId="0" fontId="53" fillId="0" borderId="0" xfId="0" applyFont="1" applyProtection="1">
      <protection locked="0"/>
    </xf>
    <xf numFmtId="0" fontId="0" fillId="0" borderId="10" xfId="0" applyBorder="1" applyProtection="1">
      <protection locked="0"/>
    </xf>
    <xf numFmtId="0" fontId="83" fillId="10" borderId="1" xfId="0" applyFont="1" applyFill="1" applyBorder="1" applyAlignment="1" applyProtection="1">
      <alignment horizontal="center" vertical="center" wrapText="1"/>
      <protection locked="0"/>
    </xf>
    <xf numFmtId="0" fontId="23" fillId="10" borderId="1" xfId="0" applyFont="1" applyFill="1" applyBorder="1" applyAlignment="1" applyProtection="1">
      <alignment horizontal="center" vertical="center" wrapText="1"/>
      <protection locked="0"/>
    </xf>
    <xf numFmtId="0" fontId="2" fillId="10" borderId="1" xfId="0" applyFont="1" applyFill="1" applyBorder="1" applyAlignment="1" applyProtection="1">
      <alignment horizontal="center" vertical="center" wrapText="1"/>
      <protection locked="0"/>
    </xf>
    <xf numFmtId="0" fontId="77" fillId="33" borderId="13" xfId="0" applyFont="1" applyFill="1" applyBorder="1" applyAlignment="1" applyProtection="1">
      <alignment horizontal="center" vertical="center" wrapText="1"/>
      <protection locked="0"/>
    </xf>
    <xf numFmtId="0" fontId="58" fillId="34" borderId="1" xfId="0" applyFont="1" applyFill="1" applyBorder="1" applyAlignment="1" applyProtection="1">
      <alignment horizontal="center" vertical="center" textRotation="90" wrapText="1"/>
      <protection locked="0"/>
    </xf>
    <xf numFmtId="0" fontId="28" fillId="35" borderId="1" xfId="0" applyFont="1" applyFill="1" applyBorder="1" applyAlignment="1" applyProtection="1">
      <alignment horizontal="center" vertical="center"/>
      <protection locked="0"/>
    </xf>
    <xf numFmtId="0" fontId="3" fillId="34" borderId="1" xfId="0" applyFont="1" applyFill="1" applyBorder="1" applyAlignment="1" applyProtection="1">
      <alignment horizontal="center" vertical="center" wrapText="1"/>
      <protection locked="0"/>
    </xf>
    <xf numFmtId="0" fontId="28" fillId="34" borderId="1" xfId="0" applyFont="1" applyFill="1" applyBorder="1" applyAlignment="1" applyProtection="1">
      <alignment horizontal="center" vertical="center" wrapText="1"/>
      <protection locked="0"/>
    </xf>
    <xf numFmtId="0" fontId="5" fillId="34" borderId="0" xfId="0" applyFont="1" applyFill="1" applyProtection="1">
      <protection locked="0"/>
    </xf>
    <xf numFmtId="0" fontId="0" fillId="5" borderId="1" xfId="0" applyFill="1" applyBorder="1" applyAlignment="1" applyProtection="1">
      <alignment vertical="center" wrapText="1"/>
      <protection locked="0"/>
    </xf>
    <xf numFmtId="0" fontId="0" fillId="5" borderId="1" xfId="0" applyFill="1" applyBorder="1" applyAlignment="1" applyProtection="1">
      <alignment horizontal="center" vertical="center" wrapText="1"/>
      <protection locked="0"/>
    </xf>
    <xf numFmtId="0" fontId="3" fillId="5" borderId="1" xfId="0" applyFont="1" applyFill="1" applyBorder="1" applyAlignment="1" applyProtection="1">
      <alignment horizontal="left" vertical="center" wrapText="1"/>
      <protection locked="0"/>
    </xf>
    <xf numFmtId="0" fontId="28" fillId="5" borderId="1" xfId="0" applyFont="1" applyFill="1" applyBorder="1" applyAlignment="1" applyProtection="1">
      <alignment horizontal="left" vertical="center" wrapText="1"/>
      <protection locked="0"/>
    </xf>
    <xf numFmtId="0" fontId="10" fillId="5" borderId="1" xfId="0" applyFont="1" applyFill="1" applyBorder="1" applyAlignment="1" applyProtection="1">
      <alignment vertical="center" wrapText="1"/>
      <protection locked="0"/>
    </xf>
    <xf numFmtId="0" fontId="0" fillId="26" borderId="0" xfId="0" applyFill="1" applyProtection="1">
      <protection locked="0"/>
    </xf>
    <xf numFmtId="0" fontId="0" fillId="5" borderId="1" xfId="0" applyFill="1" applyBorder="1" applyAlignment="1" applyProtection="1">
      <alignment horizontal="left" vertical="center" wrapText="1"/>
      <protection locked="0"/>
    </xf>
    <xf numFmtId="0" fontId="10" fillId="5" borderId="1" xfId="0" applyFont="1" applyFill="1" applyBorder="1" applyAlignment="1" applyProtection="1">
      <alignment horizontal="left" vertical="center" wrapText="1"/>
      <protection locked="0"/>
    </xf>
    <xf numFmtId="0" fontId="0" fillId="5" borderId="1" xfId="0" applyFill="1" applyBorder="1" applyProtection="1">
      <protection locked="0"/>
    </xf>
    <xf numFmtId="0" fontId="0" fillId="5" borderId="13" xfId="0" applyFill="1" applyBorder="1" applyProtection="1">
      <protection locked="0"/>
    </xf>
    <xf numFmtId="0" fontId="54" fillId="5" borderId="1" xfId="0" applyFont="1" applyFill="1" applyBorder="1" applyAlignment="1" applyProtection="1">
      <alignment vertical="center" wrapText="1"/>
      <protection locked="0"/>
    </xf>
    <xf numFmtId="0" fontId="54" fillId="5" borderId="1" xfId="0" applyFont="1" applyFill="1" applyBorder="1" applyAlignment="1" applyProtection="1">
      <alignment horizontal="center" vertical="center" wrapText="1"/>
      <protection locked="0"/>
    </xf>
    <xf numFmtId="0" fontId="54" fillId="5" borderId="1" xfId="0" applyFont="1" applyFill="1" applyBorder="1" applyProtection="1">
      <protection locked="0"/>
    </xf>
    <xf numFmtId="0" fontId="54" fillId="5" borderId="13" xfId="0" applyFont="1" applyFill="1" applyBorder="1" applyProtection="1">
      <protection locked="0"/>
    </xf>
    <xf numFmtId="0" fontId="54" fillId="26" borderId="0" xfId="0" applyFont="1" applyFill="1" applyProtection="1">
      <protection locked="0"/>
    </xf>
    <xf numFmtId="0" fontId="54" fillId="39" borderId="0" xfId="0" applyFont="1" applyFill="1" applyProtection="1">
      <protection locked="0"/>
    </xf>
    <xf numFmtId="0" fontId="54" fillId="0" borderId="0" xfId="0" applyFont="1" applyProtection="1">
      <protection locked="0"/>
    </xf>
    <xf numFmtId="0" fontId="54" fillId="0" borderId="1" xfId="0" applyFont="1" applyBorder="1" applyProtection="1">
      <protection locked="0"/>
    </xf>
    <xf numFmtId="2" fontId="10" fillId="5" borderId="1" xfId="0" applyNumberFormat="1" applyFont="1" applyFill="1" applyBorder="1" applyAlignment="1" applyProtection="1">
      <alignment vertical="center" wrapText="1"/>
      <protection locked="0"/>
    </xf>
    <xf numFmtId="2" fontId="54" fillId="5" borderId="1" xfId="0" applyNumberFormat="1" applyFont="1" applyFill="1" applyBorder="1" applyAlignment="1" applyProtection="1">
      <alignment horizontal="center" vertical="center" wrapText="1"/>
      <protection locked="0"/>
    </xf>
    <xf numFmtId="2" fontId="0" fillId="5" borderId="1" xfId="0" applyNumberFormat="1" applyFill="1" applyBorder="1" applyAlignment="1" applyProtection="1">
      <alignment horizontal="center" vertical="center" wrapText="1"/>
      <protection locked="0"/>
    </xf>
    <xf numFmtId="0" fontId="0" fillId="4" borderId="1" xfId="0" applyFill="1" applyBorder="1" applyAlignment="1" applyProtection="1">
      <alignment vertical="center" wrapText="1"/>
      <protection locked="0"/>
    </xf>
    <xf numFmtId="0" fontId="0" fillId="4" borderId="0" xfId="0" applyFill="1" applyProtection="1">
      <protection locked="0"/>
    </xf>
    <xf numFmtId="0" fontId="0" fillId="4" borderId="1" xfId="0" applyFill="1" applyBorder="1" applyProtection="1">
      <protection locked="0"/>
    </xf>
    <xf numFmtId="0" fontId="0" fillId="4" borderId="1" xfId="0" applyFill="1" applyBorder="1" applyAlignment="1" applyProtection="1">
      <alignment horizontal="center" vertical="center" wrapText="1"/>
      <protection locked="0"/>
    </xf>
    <xf numFmtId="0" fontId="3" fillId="4" borderId="1" xfId="0" applyFont="1" applyFill="1" applyBorder="1" applyAlignment="1" applyProtection="1">
      <alignment horizontal="left" vertical="center" wrapText="1"/>
      <protection locked="0"/>
    </xf>
    <xf numFmtId="0" fontId="28" fillId="4" borderId="1" xfId="0" applyFont="1" applyFill="1" applyBorder="1" applyAlignment="1" applyProtection="1">
      <alignment horizontal="left" vertical="center" wrapText="1"/>
      <protection locked="0"/>
    </xf>
    <xf numFmtId="0" fontId="10" fillId="4" borderId="1" xfId="0"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1" xfId="0"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0" fontId="28" fillId="0" borderId="1" xfId="0" applyFont="1" applyBorder="1" applyAlignment="1" applyProtection="1">
      <alignment horizontal="left" vertical="center" wrapText="1"/>
      <protection locked="0"/>
    </xf>
    <xf numFmtId="0" fontId="10" fillId="0" borderId="1" xfId="0" applyFont="1" applyBorder="1" applyAlignment="1" applyProtection="1">
      <alignment vertical="center" wrapText="1"/>
      <protection locked="0"/>
    </xf>
    <xf numFmtId="0" fontId="104" fillId="42" borderId="1" xfId="0" applyFont="1" applyFill="1" applyBorder="1"/>
    <xf numFmtId="0" fontId="105" fillId="42" borderId="1" xfId="0" applyFont="1" applyFill="1" applyBorder="1"/>
    <xf numFmtId="0" fontId="105" fillId="42" borderId="1" xfId="0" applyFont="1" applyFill="1" applyBorder="1" applyAlignment="1">
      <alignment horizontal="center"/>
    </xf>
    <xf numFmtId="0" fontId="106" fillId="42" borderId="1" xfId="0" applyFont="1" applyFill="1" applyBorder="1" applyAlignment="1">
      <alignment horizontal="center"/>
    </xf>
    <xf numFmtId="0" fontId="105" fillId="0" borderId="1" xfId="0" applyFont="1" applyBorder="1" applyAlignment="1">
      <alignment horizontal="center"/>
    </xf>
    <xf numFmtId="1" fontId="0" fillId="0" borderId="0" xfId="0" applyNumberFormat="1" applyAlignment="1">
      <alignment horizontal="center"/>
    </xf>
    <xf numFmtId="0" fontId="106" fillId="42" borderId="1" xfId="0" applyFont="1" applyFill="1" applyBorder="1"/>
    <xf numFmtId="0" fontId="70" fillId="31" borderId="0" xfId="0" applyFont="1" applyFill="1" applyAlignment="1">
      <alignment horizontal="center" vertical="center"/>
    </xf>
    <xf numFmtId="0" fontId="0" fillId="32" borderId="0" xfId="0" applyFill="1" applyAlignment="1">
      <alignment horizontal="center"/>
    </xf>
    <xf numFmtId="0" fontId="69" fillId="33" borderId="0" xfId="0" applyFont="1" applyFill="1" applyAlignment="1">
      <alignment horizontal="center"/>
    </xf>
    <xf numFmtId="166" fontId="51" fillId="31" borderId="0" xfId="0" applyNumberFormat="1" applyFont="1" applyFill="1" applyAlignment="1">
      <alignment horizontal="center"/>
    </xf>
    <xf numFmtId="0" fontId="26" fillId="32" borderId="0" xfId="0" applyFont="1" applyFill="1" applyAlignment="1">
      <alignment horizontal="center"/>
    </xf>
    <xf numFmtId="0" fontId="72" fillId="33" borderId="0" xfId="0" applyFont="1" applyFill="1" applyAlignment="1">
      <alignment horizontal="center"/>
    </xf>
    <xf numFmtId="0" fontId="5" fillId="0" borderId="33" xfId="0" applyFont="1" applyBorder="1" applyAlignment="1">
      <alignment horizontal="left" vertical="center" wrapText="1"/>
    </xf>
    <xf numFmtId="0" fontId="0" fillId="0" borderId="33" xfId="0"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wrapText="1"/>
    </xf>
    <xf numFmtId="0" fontId="0" fillId="0" borderId="32" xfId="0" applyBorder="1" applyAlignment="1">
      <alignment horizontal="left" vertical="center" wrapText="1"/>
    </xf>
    <xf numFmtId="0" fontId="5" fillId="0" borderId="32" xfId="0" applyFont="1" applyBorder="1" applyAlignment="1">
      <alignment horizontal="left" vertical="center" wrapText="1"/>
    </xf>
    <xf numFmtId="0" fontId="80" fillId="31" borderId="0" xfId="0" applyFont="1" applyFill="1" applyAlignment="1">
      <alignment horizontal="center" vertical="center" wrapText="1"/>
    </xf>
    <xf numFmtId="0" fontId="52" fillId="31" borderId="13" xfId="0" applyFont="1" applyFill="1" applyBorder="1" applyAlignment="1">
      <alignment horizontal="left" vertical="center" wrapText="1"/>
    </xf>
    <xf numFmtId="0" fontId="52" fillId="31" borderId="33" xfId="0" applyFont="1" applyFill="1" applyBorder="1" applyAlignment="1">
      <alignment horizontal="left" vertical="center" wrapText="1"/>
    </xf>
    <xf numFmtId="0" fontId="17" fillId="2" borderId="31" xfId="0" applyFont="1" applyFill="1" applyBorder="1" applyAlignment="1" applyProtection="1">
      <alignment horizontal="left" vertical="center" indent="1"/>
      <protection locked="0"/>
    </xf>
    <xf numFmtId="0" fontId="17" fillId="2" borderId="57" xfId="0" applyFont="1" applyFill="1" applyBorder="1" applyAlignment="1" applyProtection="1">
      <alignment horizontal="left" vertical="center" indent="1"/>
      <protection locked="0"/>
    </xf>
    <xf numFmtId="0" fontId="17" fillId="2" borderId="22" xfId="0" applyFont="1" applyFill="1" applyBorder="1" applyAlignment="1" applyProtection="1">
      <alignment horizontal="left" vertical="center" indent="1"/>
      <protection locked="0"/>
    </xf>
    <xf numFmtId="0" fontId="17" fillId="2" borderId="26" xfId="0" applyFont="1" applyFill="1" applyBorder="1" applyAlignment="1" applyProtection="1">
      <alignment horizontal="left" vertical="center" indent="1"/>
      <protection locked="0"/>
    </xf>
    <xf numFmtId="0" fontId="17" fillId="2" borderId="27" xfId="0" applyFont="1" applyFill="1" applyBorder="1" applyAlignment="1" applyProtection="1">
      <alignment horizontal="left" vertical="center" indent="1"/>
      <protection locked="0"/>
    </xf>
    <xf numFmtId="0" fontId="17" fillId="2" borderId="28" xfId="0" applyFont="1" applyFill="1" applyBorder="1" applyAlignment="1" applyProtection="1">
      <alignment horizontal="left" vertical="center" indent="1"/>
      <protection locked="0"/>
    </xf>
    <xf numFmtId="0" fontId="76" fillId="31" borderId="38" xfId="0" applyFont="1" applyFill="1" applyBorder="1" applyAlignment="1">
      <alignment horizontal="center" vertical="center" wrapText="1"/>
    </xf>
    <xf numFmtId="0" fontId="76" fillId="31" borderId="48" xfId="0" applyFont="1" applyFill="1" applyBorder="1" applyAlignment="1">
      <alignment horizontal="center" vertical="center" wrapText="1"/>
    </xf>
    <xf numFmtId="2" fontId="12" fillId="2" borderId="38" xfId="0" applyNumberFormat="1" applyFont="1" applyFill="1" applyBorder="1" applyAlignment="1" applyProtection="1">
      <alignment horizontal="center" vertical="center"/>
      <protection locked="0"/>
    </xf>
    <xf numFmtId="2" fontId="12" fillId="2" borderId="48" xfId="0" applyNumberFormat="1" applyFont="1" applyFill="1" applyBorder="1" applyAlignment="1" applyProtection="1">
      <alignment horizontal="center" vertical="center"/>
      <protection locked="0"/>
    </xf>
    <xf numFmtId="0" fontId="63" fillId="33" borderId="72" xfId="0" applyFont="1" applyFill="1" applyBorder="1" applyAlignment="1">
      <alignment horizontal="center" vertical="center" textRotation="90" wrapText="1"/>
    </xf>
    <xf numFmtId="0" fontId="58" fillId="34" borderId="53" xfId="0" applyFont="1" applyFill="1" applyBorder="1" applyAlignment="1">
      <alignment horizontal="center" vertical="center" textRotation="90" wrapText="1"/>
    </xf>
    <xf numFmtId="0" fontId="58" fillId="34" borderId="34" xfId="0" applyFont="1" applyFill="1" applyBorder="1" applyAlignment="1">
      <alignment horizontal="center" vertical="center" textRotation="90" wrapText="1"/>
    </xf>
    <xf numFmtId="0" fontId="60" fillId="20" borderId="1" xfId="0" applyFont="1" applyFill="1" applyBorder="1" applyAlignment="1">
      <alignment horizontal="center" vertical="center" wrapText="1"/>
    </xf>
    <xf numFmtId="0" fontId="58" fillId="34" borderId="32" xfId="0" applyFont="1" applyFill="1" applyBorder="1" applyAlignment="1">
      <alignment horizontal="center" vertical="center" textRotation="90" wrapText="1"/>
    </xf>
    <xf numFmtId="0" fontId="60" fillId="20" borderId="29" xfId="0" applyFont="1" applyFill="1" applyBorder="1" applyAlignment="1">
      <alignment horizontal="center" vertical="center" wrapText="1"/>
    </xf>
    <xf numFmtId="0" fontId="60" fillId="20" borderId="10" xfId="0" applyFont="1" applyFill="1" applyBorder="1" applyAlignment="1">
      <alignment horizontal="center" vertical="center" wrapText="1"/>
    </xf>
    <xf numFmtId="0" fontId="60" fillId="20" borderId="70" xfId="0" applyFont="1" applyFill="1" applyBorder="1" applyAlignment="1">
      <alignment horizontal="center" vertical="center" wrapText="1"/>
    </xf>
    <xf numFmtId="0" fontId="58" fillId="34" borderId="73" xfId="0" applyFont="1" applyFill="1" applyBorder="1" applyAlignment="1">
      <alignment horizontal="center" vertical="center" textRotation="90" wrapText="1"/>
    </xf>
    <xf numFmtId="9" fontId="11" fillId="18" borderId="0" xfId="2" quotePrefix="1" applyFont="1" applyFill="1" applyBorder="1" applyAlignment="1" applyProtection="1">
      <alignment horizontal="center" vertical="center" wrapText="1"/>
    </xf>
    <xf numFmtId="0" fontId="56" fillId="31" borderId="1" xfId="0" applyFont="1" applyFill="1" applyBorder="1" applyAlignment="1">
      <alignment horizontal="left" vertical="center" wrapText="1"/>
    </xf>
    <xf numFmtId="0" fontId="78" fillId="33" borderId="1" xfId="0" applyFont="1" applyFill="1" applyBorder="1" applyAlignment="1">
      <alignment horizontal="center" vertical="center" wrapText="1"/>
    </xf>
    <xf numFmtId="0" fontId="59" fillId="24" borderId="1" xfId="0" applyFont="1" applyFill="1" applyBorder="1" applyAlignment="1">
      <alignment horizontal="center" vertical="center" wrapText="1"/>
    </xf>
    <xf numFmtId="0" fontId="63" fillId="33" borderId="1" xfId="0" applyFont="1" applyFill="1" applyBorder="1" applyAlignment="1">
      <alignment horizontal="center" vertical="center" wrapText="1"/>
    </xf>
    <xf numFmtId="0" fontId="63" fillId="33" borderId="29" xfId="0" applyFont="1" applyFill="1" applyBorder="1" applyAlignment="1">
      <alignment horizontal="center" vertical="center" wrapText="1"/>
    </xf>
    <xf numFmtId="0" fontId="78" fillId="33" borderId="13" xfId="0" applyFont="1" applyFill="1" applyBorder="1" applyAlignment="1">
      <alignment horizontal="center" vertical="center" wrapText="1"/>
    </xf>
    <xf numFmtId="0" fontId="78" fillId="33" borderId="33" xfId="0" applyFont="1" applyFill="1" applyBorder="1" applyAlignment="1">
      <alignment horizontal="center" vertical="center" wrapText="1"/>
    </xf>
    <xf numFmtId="0" fontId="78" fillId="33" borderId="32" xfId="0" applyFont="1" applyFill="1" applyBorder="1" applyAlignment="1">
      <alignment horizontal="center" vertical="center" wrapText="1"/>
    </xf>
    <xf numFmtId="0" fontId="10" fillId="34" borderId="27" xfId="0" applyFont="1" applyFill="1" applyBorder="1" applyAlignment="1">
      <alignment horizontal="left" vertical="center" indent="1"/>
    </xf>
    <xf numFmtId="0" fontId="10" fillId="34" borderId="33" xfId="0" applyFont="1" applyFill="1" applyBorder="1" applyAlignment="1">
      <alignment horizontal="left" vertical="center" indent="1"/>
    </xf>
    <xf numFmtId="0" fontId="10" fillId="34" borderId="37" xfId="0" applyFont="1" applyFill="1" applyBorder="1" applyAlignment="1">
      <alignment horizontal="left" vertical="center" indent="1"/>
    </xf>
    <xf numFmtId="0" fontId="10" fillId="34" borderId="66" xfId="0" applyFont="1" applyFill="1" applyBorder="1" applyAlignment="1">
      <alignment horizontal="left" vertical="center" indent="1"/>
    </xf>
    <xf numFmtId="0" fontId="5" fillId="28" borderId="2" xfId="0" applyFont="1" applyFill="1" applyBorder="1" applyAlignment="1">
      <alignment horizontal="center" vertical="center"/>
    </xf>
    <xf numFmtId="0" fontId="0" fillId="28" borderId="2" xfId="0" applyFill="1" applyBorder="1" applyAlignment="1">
      <alignment horizontal="center" vertical="center"/>
    </xf>
    <xf numFmtId="0" fontId="5" fillId="18" borderId="1" xfId="0" applyFont="1" applyFill="1" applyBorder="1" applyAlignment="1">
      <alignment horizontal="center" vertical="center"/>
    </xf>
    <xf numFmtId="0" fontId="0" fillId="18" borderId="1" xfId="0" applyFill="1" applyBorder="1" applyAlignment="1">
      <alignment horizontal="center" vertical="center"/>
    </xf>
    <xf numFmtId="0" fontId="5" fillId="18" borderId="2" xfId="0" applyFont="1" applyFill="1" applyBorder="1" applyAlignment="1">
      <alignment horizontal="center" vertical="center"/>
    </xf>
    <xf numFmtId="0" fontId="0" fillId="18" borderId="2" xfId="0" applyFill="1" applyBorder="1" applyAlignment="1">
      <alignment horizontal="center" vertical="center"/>
    </xf>
    <xf numFmtId="0" fontId="10" fillId="34" borderId="13" xfId="0" applyFont="1" applyFill="1" applyBorder="1" applyAlignment="1">
      <alignment horizontal="center" vertical="center"/>
    </xf>
    <xf numFmtId="0" fontId="10" fillId="34" borderId="32" xfId="0" applyFont="1" applyFill="1" applyBorder="1" applyAlignment="1">
      <alignment horizontal="center" vertical="center"/>
    </xf>
    <xf numFmtId="0" fontId="10" fillId="34" borderId="24" xfId="0" applyFont="1" applyFill="1" applyBorder="1" applyAlignment="1">
      <alignment horizontal="left" vertical="center" indent="1"/>
    </xf>
    <xf numFmtId="0" fontId="10" fillId="34" borderId="56" xfId="0" applyFont="1" applyFill="1" applyBorder="1" applyAlignment="1">
      <alignment horizontal="left" vertical="center" indent="1"/>
    </xf>
    <xf numFmtId="0" fontId="10" fillId="34" borderId="28" xfId="0" applyFont="1" applyFill="1" applyBorder="1" applyAlignment="1">
      <alignment horizontal="left" vertical="center" indent="1"/>
    </xf>
    <xf numFmtId="0" fontId="76" fillId="33" borderId="38" xfId="0" applyFont="1" applyFill="1" applyBorder="1" applyAlignment="1">
      <alignment horizontal="left" vertical="center" indent="1"/>
    </xf>
    <xf numFmtId="0" fontId="76" fillId="33" borderId="49" xfId="0" applyFont="1" applyFill="1" applyBorder="1" applyAlignment="1">
      <alignment horizontal="left" vertical="center" indent="1"/>
    </xf>
    <xf numFmtId="0" fontId="79" fillId="33" borderId="38" xfId="0" applyFont="1" applyFill="1" applyBorder="1" applyAlignment="1">
      <alignment horizontal="left" vertical="center"/>
    </xf>
    <xf numFmtId="0" fontId="79" fillId="33" borderId="49" xfId="0" applyFont="1" applyFill="1" applyBorder="1" applyAlignment="1">
      <alignment horizontal="left" vertical="center"/>
    </xf>
    <xf numFmtId="0" fontId="79" fillId="33" borderId="48" xfId="0" applyFont="1" applyFill="1" applyBorder="1" applyAlignment="1">
      <alignment horizontal="left" vertical="center"/>
    </xf>
    <xf numFmtId="0" fontId="76" fillId="33" borderId="38" xfId="0" applyFont="1" applyFill="1" applyBorder="1" applyAlignment="1">
      <alignment horizontal="center" vertical="center"/>
    </xf>
    <xf numFmtId="0" fontId="76" fillId="33" borderId="48" xfId="0" applyFont="1" applyFill="1" applyBorder="1" applyAlignment="1">
      <alignment horizontal="center" vertical="center"/>
    </xf>
    <xf numFmtId="0" fontId="77" fillId="33" borderId="54" xfId="0" applyFont="1" applyFill="1" applyBorder="1" applyAlignment="1">
      <alignment horizontal="center" vertical="center"/>
    </xf>
    <xf numFmtId="0" fontId="77" fillId="33" borderId="43" xfId="0" applyFont="1" applyFill="1" applyBorder="1" applyAlignment="1">
      <alignment horizontal="center" vertical="center"/>
    </xf>
    <xf numFmtId="0" fontId="76" fillId="33" borderId="44" xfId="0" applyFont="1" applyFill="1" applyBorder="1" applyAlignment="1">
      <alignment horizontal="center" vertical="center"/>
    </xf>
    <xf numFmtId="0" fontId="76" fillId="33" borderId="45" xfId="0" applyFont="1" applyFill="1" applyBorder="1" applyAlignment="1">
      <alignment horizontal="center" vertical="center"/>
    </xf>
    <xf numFmtId="0" fontId="76" fillId="33" borderId="58" xfId="0" applyFont="1" applyFill="1" applyBorder="1" applyAlignment="1">
      <alignment horizontal="center" vertical="center"/>
    </xf>
    <xf numFmtId="0" fontId="79" fillId="33" borderId="3" xfId="0" applyFont="1" applyFill="1" applyBorder="1" applyAlignment="1">
      <alignment horizontal="left" vertical="center"/>
    </xf>
    <xf numFmtId="0" fontId="79" fillId="33" borderId="4" xfId="0" applyFont="1" applyFill="1" applyBorder="1" applyAlignment="1">
      <alignment horizontal="left" vertical="center"/>
    </xf>
    <xf numFmtId="0" fontId="79" fillId="33" borderId="7" xfId="0" applyFont="1" applyFill="1" applyBorder="1" applyAlignment="1">
      <alignment horizontal="left" vertical="center"/>
    </xf>
    <xf numFmtId="0" fontId="10" fillId="34" borderId="31" xfId="0" applyFont="1" applyFill="1" applyBorder="1" applyAlignment="1">
      <alignment horizontal="left" vertical="center" indent="1"/>
    </xf>
    <xf numFmtId="0" fontId="10" fillId="34" borderId="57" xfId="0" applyFont="1" applyFill="1" applyBorder="1" applyAlignment="1">
      <alignment horizontal="left" vertical="center" indent="1"/>
    </xf>
    <xf numFmtId="2" fontId="79" fillId="31" borderId="38" xfId="0" applyNumberFormat="1" applyFont="1" applyFill="1" applyBorder="1" applyAlignment="1">
      <alignment horizontal="center" vertical="center"/>
    </xf>
    <xf numFmtId="2" fontId="79" fillId="31" borderId="49" xfId="0" applyNumberFormat="1" applyFont="1" applyFill="1" applyBorder="1" applyAlignment="1">
      <alignment horizontal="center" vertical="center"/>
    </xf>
    <xf numFmtId="2" fontId="79" fillId="31" borderId="48" xfId="0" applyNumberFormat="1" applyFont="1" applyFill="1" applyBorder="1" applyAlignment="1">
      <alignment horizontal="center" vertical="center"/>
    </xf>
    <xf numFmtId="0" fontId="76" fillId="33" borderId="60" xfId="0" applyFont="1" applyFill="1" applyBorder="1" applyAlignment="1">
      <alignment horizontal="center" vertical="center"/>
    </xf>
    <xf numFmtId="0" fontId="76" fillId="33" borderId="55" xfId="0" applyFont="1" applyFill="1" applyBorder="1" applyAlignment="1">
      <alignment horizontal="center" vertical="center"/>
    </xf>
    <xf numFmtId="0" fontId="10" fillId="34" borderId="2" xfId="0" applyFont="1" applyFill="1" applyBorder="1" applyAlignment="1">
      <alignment horizontal="left" vertical="center" indent="1"/>
    </xf>
    <xf numFmtId="0" fontId="79" fillId="33" borderId="38" xfId="0" applyFont="1" applyFill="1" applyBorder="1" applyAlignment="1">
      <alignment horizontal="center" vertical="center"/>
    </xf>
    <xf numFmtId="0" fontId="79" fillId="33" borderId="49" xfId="0" applyFont="1" applyFill="1" applyBorder="1" applyAlignment="1">
      <alignment horizontal="center" vertical="center"/>
    </xf>
    <xf numFmtId="0" fontId="79" fillId="33" borderId="48" xfId="0" applyFont="1" applyFill="1" applyBorder="1" applyAlignment="1">
      <alignment horizontal="center" vertical="center"/>
    </xf>
    <xf numFmtId="0" fontId="10" fillId="34" borderId="22" xfId="0" applyFont="1" applyFill="1" applyBorder="1" applyAlignment="1">
      <alignment horizontal="center" vertical="center"/>
    </xf>
    <xf numFmtId="0" fontId="10" fillId="34" borderId="35" xfId="0" applyFont="1" applyFill="1" applyBorder="1" applyAlignment="1">
      <alignment horizontal="center" vertical="center"/>
    </xf>
    <xf numFmtId="0" fontId="10" fillId="34" borderId="60" xfId="0" applyFont="1" applyFill="1" applyBorder="1" applyAlignment="1">
      <alignment horizontal="left" vertical="center" indent="1"/>
    </xf>
    <xf numFmtId="0" fontId="10" fillId="34" borderId="42" xfId="0" applyFont="1" applyFill="1" applyBorder="1" applyAlignment="1">
      <alignment horizontal="left" vertical="center" indent="1"/>
    </xf>
    <xf numFmtId="0" fontId="79" fillId="33" borderId="0" xfId="0" applyFont="1" applyFill="1" applyAlignment="1" applyProtection="1">
      <alignment horizontal="center" vertical="center" wrapText="1"/>
      <protection locked="0"/>
    </xf>
    <xf numFmtId="0" fontId="80" fillId="31" borderId="0" xfId="0" applyFont="1" applyFill="1" applyAlignment="1" applyProtection="1">
      <alignment horizontal="center" vertical="center" wrapText="1"/>
      <protection locked="0"/>
    </xf>
    <xf numFmtId="2" fontId="80" fillId="31" borderId="0" xfId="0" applyNumberFormat="1" applyFont="1" applyFill="1" applyAlignment="1" applyProtection="1">
      <alignment horizontal="center" vertical="center" wrapText="1"/>
      <protection locked="0"/>
    </xf>
    <xf numFmtId="0" fontId="76" fillId="33" borderId="10" xfId="0" applyFont="1" applyFill="1" applyBorder="1" applyAlignment="1" applyProtection="1">
      <alignment horizontal="center" vertical="center" wrapText="1"/>
      <protection locked="0"/>
    </xf>
    <xf numFmtId="0" fontId="63" fillId="33" borderId="1" xfId="0" applyFont="1" applyFill="1" applyBorder="1" applyAlignment="1" applyProtection="1">
      <alignment horizontal="center" vertical="center" textRotation="90" wrapText="1"/>
      <protection locked="0"/>
    </xf>
    <xf numFmtId="0" fontId="58" fillId="34" borderId="1" xfId="0" applyFont="1" applyFill="1" applyBorder="1" applyAlignment="1" applyProtection="1">
      <alignment horizontal="center" vertical="center" textRotation="90" wrapText="1"/>
      <protection locked="0"/>
    </xf>
    <xf numFmtId="0" fontId="60" fillId="20" borderId="1" xfId="0" applyFont="1" applyFill="1" applyBorder="1" applyAlignment="1" applyProtection="1">
      <alignment horizontal="center" vertical="center" wrapText="1"/>
      <protection locked="0"/>
    </xf>
    <xf numFmtId="0" fontId="27" fillId="34" borderId="38" xfId="0" applyFont="1" applyFill="1" applyBorder="1" applyAlignment="1" applyProtection="1">
      <alignment horizontal="center" vertical="center" wrapText="1"/>
      <protection locked="0"/>
    </xf>
    <xf numFmtId="0" fontId="27" fillId="34" borderId="49" xfId="0" applyFont="1" applyFill="1" applyBorder="1" applyAlignment="1" applyProtection="1">
      <alignment horizontal="center" vertical="center" wrapText="1"/>
      <protection locked="0"/>
    </xf>
    <xf numFmtId="0" fontId="27" fillId="34" borderId="48" xfId="0" applyFont="1" applyFill="1" applyBorder="1" applyAlignment="1" applyProtection="1">
      <alignment horizontal="center" vertical="center" wrapText="1"/>
      <protection locked="0"/>
    </xf>
    <xf numFmtId="0" fontId="77" fillId="33" borderId="10" xfId="0" applyFont="1" applyFill="1" applyBorder="1" applyAlignment="1" applyProtection="1">
      <alignment horizontal="center" vertical="center" wrapText="1"/>
      <protection locked="0"/>
    </xf>
    <xf numFmtId="0" fontId="77" fillId="33" borderId="1" xfId="0" applyFont="1" applyFill="1" applyBorder="1" applyAlignment="1" applyProtection="1">
      <alignment horizontal="center" vertical="center" wrapText="1"/>
      <protection locked="0"/>
    </xf>
    <xf numFmtId="0" fontId="76" fillId="33" borderId="1" xfId="0" applyFont="1" applyFill="1" applyBorder="1" applyAlignment="1" applyProtection="1">
      <alignment horizontal="center" vertical="center" wrapText="1"/>
      <protection locked="0"/>
    </xf>
    <xf numFmtId="0" fontId="79" fillId="33" borderId="1" xfId="0" applyFont="1" applyFill="1" applyBorder="1" applyAlignment="1" applyProtection="1">
      <alignment horizontal="center" vertical="center" wrapText="1"/>
      <protection locked="0"/>
    </xf>
    <xf numFmtId="0" fontId="58" fillId="34" borderId="29" xfId="0" applyFont="1" applyFill="1" applyBorder="1" applyAlignment="1" applyProtection="1">
      <alignment horizontal="center" vertical="center" textRotation="90" wrapText="1"/>
      <protection locked="0"/>
    </xf>
    <xf numFmtId="0" fontId="58" fillId="34" borderId="10" xfId="0" applyFont="1" applyFill="1" applyBorder="1" applyAlignment="1" applyProtection="1">
      <alignment horizontal="center" vertical="center" textRotation="90" wrapText="1"/>
      <protection locked="0"/>
    </xf>
    <xf numFmtId="0" fontId="63" fillId="33" borderId="29" xfId="0" applyFont="1" applyFill="1" applyBorder="1" applyAlignment="1" applyProtection="1">
      <alignment horizontal="center" vertical="center" textRotation="90" wrapText="1"/>
      <protection locked="0"/>
    </xf>
    <xf numFmtId="0" fontId="63" fillId="33" borderId="70" xfId="0" applyFont="1" applyFill="1" applyBorder="1" applyAlignment="1" applyProtection="1">
      <alignment horizontal="center" vertical="center" textRotation="90" wrapText="1"/>
      <protection locked="0"/>
    </xf>
    <xf numFmtId="0" fontId="60" fillId="20" borderId="29" xfId="0" applyFont="1" applyFill="1" applyBorder="1" applyAlignment="1" applyProtection="1">
      <alignment horizontal="center" vertical="center" wrapText="1"/>
      <protection locked="0"/>
    </xf>
    <xf numFmtId="0" fontId="60" fillId="20" borderId="10" xfId="0" applyFont="1" applyFill="1" applyBorder="1" applyAlignment="1" applyProtection="1">
      <alignment horizontal="center" vertical="center" wrapText="1"/>
      <protection locked="0"/>
    </xf>
    <xf numFmtId="0" fontId="58" fillId="34" borderId="70" xfId="0" applyFont="1" applyFill="1" applyBorder="1" applyAlignment="1" applyProtection="1">
      <alignment horizontal="center" vertical="center" textRotation="90" wrapText="1"/>
      <protection locked="0"/>
    </xf>
    <xf numFmtId="0" fontId="60" fillId="20" borderId="70" xfId="0" applyFont="1" applyFill="1" applyBorder="1" applyAlignment="1" applyProtection="1">
      <alignment horizontal="center" vertical="center" wrapText="1"/>
      <protection locked="0"/>
    </xf>
    <xf numFmtId="0" fontId="86" fillId="31" borderId="0" xfId="0" applyFont="1" applyFill="1" applyAlignment="1">
      <alignment horizontal="left" vertical="center"/>
    </xf>
    <xf numFmtId="0" fontId="80" fillId="31" borderId="29" xfId="0" applyFont="1" applyFill="1" applyBorder="1" applyAlignment="1">
      <alignment horizontal="center" vertical="center" wrapText="1"/>
    </xf>
    <xf numFmtId="0" fontId="79" fillId="33" borderId="44" xfId="0" applyFont="1" applyFill="1" applyBorder="1" applyAlignment="1">
      <alignment horizontal="center" vertical="center" wrapText="1"/>
    </xf>
    <xf numFmtId="0" fontId="79" fillId="33" borderId="35" xfId="0" applyFont="1" applyFill="1" applyBorder="1" applyAlignment="1">
      <alignment horizontal="center" vertical="center" wrapText="1"/>
    </xf>
    <xf numFmtId="0" fontId="79" fillId="33" borderId="45" xfId="0" applyFont="1" applyFill="1" applyBorder="1" applyAlignment="1">
      <alignment horizontal="center" vertical="center" wrapText="1"/>
    </xf>
    <xf numFmtId="0" fontId="79" fillId="33" borderId="12" xfId="0" applyFont="1" applyFill="1" applyBorder="1" applyAlignment="1">
      <alignment horizontal="center" vertical="center" wrapText="1"/>
    </xf>
    <xf numFmtId="0" fontId="79" fillId="33" borderId="32" xfId="0" applyFont="1" applyFill="1" applyBorder="1" applyAlignment="1">
      <alignment horizontal="center" vertical="center" wrapText="1"/>
    </xf>
    <xf numFmtId="0" fontId="79" fillId="33" borderId="1" xfId="0" applyFont="1" applyFill="1" applyBorder="1" applyAlignment="1">
      <alignment horizontal="center" vertical="center" wrapText="1"/>
    </xf>
    <xf numFmtId="0" fontId="58" fillId="34" borderId="29" xfId="0" applyFont="1" applyFill="1" applyBorder="1" applyAlignment="1">
      <alignment horizontal="center" vertical="center" textRotation="90" wrapText="1"/>
    </xf>
    <xf numFmtId="0" fontId="58" fillId="34" borderId="10" xfId="0" applyFont="1" applyFill="1" applyBorder="1" applyAlignment="1">
      <alignment horizontal="center" vertical="center" textRotation="90" wrapText="1"/>
    </xf>
    <xf numFmtId="0" fontId="63" fillId="33" borderId="70" xfId="0" applyFont="1" applyFill="1" applyBorder="1" applyAlignment="1">
      <alignment horizontal="center" vertical="center" textRotation="90" wrapText="1"/>
    </xf>
    <xf numFmtId="0" fontId="63" fillId="33" borderId="1" xfId="0" applyFont="1" applyFill="1" applyBorder="1" applyAlignment="1">
      <alignment horizontal="center" vertical="center" textRotation="90" wrapText="1"/>
    </xf>
    <xf numFmtId="0" fontId="58" fillId="34" borderId="1" xfId="0" applyFont="1" applyFill="1" applyBorder="1" applyAlignment="1">
      <alignment horizontal="center" vertical="center" textRotation="90" wrapText="1"/>
    </xf>
    <xf numFmtId="0" fontId="63" fillId="33" borderId="29" xfId="0" applyFont="1" applyFill="1" applyBorder="1" applyAlignment="1">
      <alignment horizontal="center" vertical="center" textRotation="90" wrapText="1"/>
    </xf>
    <xf numFmtId="0" fontId="58" fillId="34" borderId="70" xfId="0" applyFont="1" applyFill="1" applyBorder="1" applyAlignment="1">
      <alignment horizontal="center" vertical="center" textRotation="90" wrapText="1"/>
    </xf>
    <xf numFmtId="2" fontId="80" fillId="31" borderId="29" xfId="0" applyNumberFormat="1" applyFont="1" applyFill="1" applyBorder="1" applyAlignment="1">
      <alignment horizontal="center" vertical="center" wrapText="1"/>
    </xf>
    <xf numFmtId="0" fontId="89" fillId="31" borderId="68" xfId="0" applyFont="1" applyFill="1" applyBorder="1" applyAlignment="1">
      <alignment horizontal="center" vertical="center" wrapText="1"/>
    </xf>
    <xf numFmtId="0" fontId="89" fillId="31" borderId="67" xfId="0" applyFont="1" applyFill="1" applyBorder="1" applyAlignment="1">
      <alignment horizontal="center" vertical="center" wrapText="1"/>
    </xf>
    <xf numFmtId="0" fontId="89" fillId="31" borderId="62" xfId="0" applyFont="1" applyFill="1" applyBorder="1" applyAlignment="1">
      <alignment horizontal="center" vertical="center" wrapText="1"/>
    </xf>
    <xf numFmtId="0" fontId="89" fillId="31" borderId="69" xfId="0" applyFont="1" applyFill="1" applyBorder="1" applyAlignment="1">
      <alignment horizontal="center" vertical="center" wrapText="1"/>
    </xf>
    <xf numFmtId="0" fontId="89" fillId="31" borderId="0" xfId="0" applyFont="1" applyFill="1" applyAlignment="1">
      <alignment horizontal="center" vertical="center" wrapText="1"/>
    </xf>
    <xf numFmtId="0" fontId="89" fillId="31" borderId="63" xfId="0" applyFont="1" applyFill="1" applyBorder="1" applyAlignment="1">
      <alignment horizontal="center" vertical="center" wrapText="1"/>
    </xf>
    <xf numFmtId="0" fontId="89" fillId="31" borderId="60" xfId="0" applyFont="1" applyFill="1" applyBorder="1" applyAlignment="1">
      <alignment horizontal="center" vertical="center" wrapText="1"/>
    </xf>
    <xf numFmtId="0" fontId="89" fillId="31" borderId="55" xfId="0" applyFont="1" applyFill="1" applyBorder="1" applyAlignment="1">
      <alignment horizontal="center" vertical="center" wrapText="1"/>
    </xf>
    <xf numFmtId="0" fontId="89" fillId="31" borderId="42" xfId="0" applyFont="1" applyFill="1" applyBorder="1" applyAlignment="1">
      <alignment horizontal="center" vertical="center" wrapText="1"/>
    </xf>
    <xf numFmtId="0" fontId="36" fillId="6" borderId="0" xfId="0" applyFont="1" applyFill="1" applyAlignment="1">
      <alignment horizontal="left" vertical="center"/>
    </xf>
    <xf numFmtId="0" fontId="85" fillId="31" borderId="38" xfId="0" applyFont="1" applyFill="1" applyBorder="1" applyAlignment="1">
      <alignment horizontal="center" vertical="center"/>
    </xf>
    <xf numFmtId="0" fontId="85" fillId="31" borderId="48" xfId="0" applyFont="1" applyFill="1" applyBorder="1" applyAlignment="1">
      <alignment horizontal="center" vertical="center"/>
    </xf>
    <xf numFmtId="0" fontId="18" fillId="2" borderId="0" xfId="0" applyFont="1" applyFill="1" applyAlignment="1">
      <alignment horizontal="center" vertical="center"/>
    </xf>
    <xf numFmtId="0" fontId="18" fillId="10" borderId="3" xfId="0" applyFont="1" applyFill="1" applyBorder="1" applyAlignment="1">
      <alignment horizontal="center" vertical="center"/>
    </xf>
    <xf numFmtId="0" fontId="18" fillId="10" borderId="5" xfId="0" applyFont="1" applyFill="1" applyBorder="1" applyAlignment="1">
      <alignment horizontal="center" vertical="center"/>
    </xf>
    <xf numFmtId="0" fontId="84" fillId="31" borderId="38" xfId="0" applyFont="1" applyFill="1" applyBorder="1" applyAlignment="1">
      <alignment horizontal="center" vertical="center"/>
    </xf>
    <xf numFmtId="0" fontId="84" fillId="31" borderId="48" xfId="0" applyFont="1" applyFill="1" applyBorder="1" applyAlignment="1">
      <alignment horizontal="center" vertical="center"/>
    </xf>
    <xf numFmtId="2" fontId="84" fillId="31" borderId="38" xfId="0" applyNumberFormat="1" applyFont="1" applyFill="1" applyBorder="1" applyAlignment="1">
      <alignment horizontal="center" vertical="center"/>
    </xf>
    <xf numFmtId="0" fontId="84" fillId="31" borderId="49" xfId="0" applyFont="1" applyFill="1" applyBorder="1" applyAlignment="1">
      <alignment horizontal="center" vertical="center"/>
    </xf>
    <xf numFmtId="0" fontId="18" fillId="10" borderId="38" xfId="0" applyFont="1" applyFill="1" applyBorder="1" applyAlignment="1">
      <alignment horizontal="center" vertical="center"/>
    </xf>
    <xf numFmtId="0" fontId="18" fillId="10" borderId="48" xfId="0" applyFont="1" applyFill="1" applyBorder="1" applyAlignment="1">
      <alignment horizontal="center" vertical="center"/>
    </xf>
    <xf numFmtId="2" fontId="76" fillId="31" borderId="38" xfId="0" applyNumberFormat="1" applyFont="1" applyFill="1" applyBorder="1" applyAlignment="1">
      <alignment horizontal="center" vertical="center"/>
    </xf>
    <xf numFmtId="2" fontId="76" fillId="31" borderId="49" xfId="0" applyNumberFormat="1" applyFont="1" applyFill="1" applyBorder="1" applyAlignment="1">
      <alignment horizontal="center" vertical="center"/>
    </xf>
    <xf numFmtId="2" fontId="76" fillId="31" borderId="48" xfId="0" applyNumberFormat="1" applyFont="1" applyFill="1" applyBorder="1" applyAlignment="1">
      <alignment horizontal="center" vertical="center"/>
    </xf>
    <xf numFmtId="0" fontId="50" fillId="2" borderId="0" xfId="0" applyFont="1" applyFill="1" applyAlignment="1">
      <alignment horizontal="center" vertical="center"/>
    </xf>
    <xf numFmtId="0" fontId="80" fillId="31" borderId="38" xfId="0" applyFont="1" applyFill="1" applyBorder="1" applyAlignment="1">
      <alignment horizontal="center" vertical="center" wrapText="1"/>
    </xf>
    <xf numFmtId="0" fontId="80" fillId="31" borderId="48" xfId="0" applyFont="1" applyFill="1" applyBorder="1" applyAlignment="1">
      <alignment horizontal="center" vertical="center" wrapText="1"/>
    </xf>
    <xf numFmtId="0" fontId="80" fillId="33" borderId="3" xfId="0" applyFont="1" applyFill="1" applyBorder="1" applyAlignment="1">
      <alignment horizontal="center" vertical="center"/>
    </xf>
    <xf numFmtId="0" fontId="80" fillId="33" borderId="4" xfId="0" applyFont="1" applyFill="1" applyBorder="1" applyAlignment="1">
      <alignment horizontal="center" vertical="center"/>
    </xf>
    <xf numFmtId="0" fontId="79" fillId="33" borderId="3" xfId="0" applyFont="1" applyFill="1" applyBorder="1" applyAlignment="1">
      <alignment horizontal="center" vertical="center"/>
    </xf>
    <xf numFmtId="0" fontId="79" fillId="33" borderId="4" xfId="0" applyFont="1" applyFill="1" applyBorder="1" applyAlignment="1">
      <alignment horizontal="center" vertical="center"/>
    </xf>
    <xf numFmtId="0" fontId="3" fillId="34" borderId="71" xfId="0" applyFont="1" applyFill="1" applyBorder="1" applyAlignment="1">
      <alignment horizontal="center" vertical="center" wrapText="1"/>
    </xf>
    <xf numFmtId="0" fontId="3" fillId="34" borderId="66" xfId="0" applyFont="1" applyFill="1" applyBorder="1" applyAlignment="1">
      <alignment horizontal="center" vertical="center" wrapText="1"/>
    </xf>
    <xf numFmtId="0" fontId="77" fillId="33" borderId="9" xfId="0" applyFont="1" applyFill="1" applyBorder="1" applyAlignment="1">
      <alignment horizontal="center" vertical="center"/>
    </xf>
    <xf numFmtId="0" fontId="77" fillId="33" borderId="2" xfId="0" applyFont="1" applyFill="1" applyBorder="1" applyAlignment="1">
      <alignment horizontal="center" vertical="center"/>
    </xf>
    <xf numFmtId="0" fontId="77" fillId="33" borderId="34" xfId="0" applyFont="1" applyFill="1" applyBorder="1" applyAlignment="1">
      <alignment horizontal="center" vertical="center"/>
    </xf>
    <xf numFmtId="0" fontId="96" fillId="37" borderId="13" xfId="0" applyFont="1" applyFill="1" applyBorder="1" applyAlignment="1">
      <alignment horizontal="center" vertical="center"/>
    </xf>
    <xf numFmtId="0" fontId="96" fillId="37" borderId="33" xfId="0" applyFont="1" applyFill="1" applyBorder="1" applyAlignment="1">
      <alignment horizontal="center" vertical="center"/>
    </xf>
    <xf numFmtId="0" fontId="96" fillId="37" borderId="32" xfId="0" applyFont="1" applyFill="1" applyBorder="1" applyAlignment="1">
      <alignment horizontal="center" vertical="center"/>
    </xf>
    <xf numFmtId="0" fontId="96" fillId="38" borderId="13" xfId="0" applyFont="1" applyFill="1" applyBorder="1" applyAlignment="1">
      <alignment horizontal="center" vertical="center"/>
    </xf>
    <xf numFmtId="0" fontId="96" fillId="38" borderId="33" xfId="0" applyFont="1" applyFill="1" applyBorder="1" applyAlignment="1">
      <alignment horizontal="center" vertical="center"/>
    </xf>
    <xf numFmtId="0" fontId="96" fillId="38" borderId="32" xfId="0" applyFont="1" applyFill="1" applyBorder="1" applyAlignment="1">
      <alignment horizontal="center" vertical="center"/>
    </xf>
    <xf numFmtId="0" fontId="2" fillId="41" borderId="0" xfId="0" applyFont="1" applyFill="1" applyAlignment="1">
      <alignment horizontal="center" vertical="center"/>
    </xf>
    <xf numFmtId="0" fontId="2" fillId="24" borderId="0" xfId="0" applyFont="1" applyFill="1" applyAlignment="1">
      <alignment horizontal="center" vertical="center"/>
    </xf>
    <xf numFmtId="0" fontId="2" fillId="40" borderId="0" xfId="0" applyFont="1" applyFill="1" applyAlignment="1">
      <alignment horizontal="center" vertical="center"/>
    </xf>
    <xf numFmtId="0" fontId="2" fillId="35" borderId="0" xfId="0" applyFont="1" applyFill="1" applyAlignment="1">
      <alignment horizontal="center" vertical="center"/>
    </xf>
    <xf numFmtId="0" fontId="2" fillId="0" borderId="38" xfId="0" applyFont="1" applyBorder="1" applyAlignment="1">
      <alignment horizontal="center"/>
    </xf>
    <xf numFmtId="0" fontId="2" fillId="0" borderId="49" xfId="0" applyFont="1" applyBorder="1" applyAlignment="1">
      <alignment horizontal="center"/>
    </xf>
    <xf numFmtId="0" fontId="2" fillId="0" borderId="48" xfId="0" applyFont="1" applyBorder="1" applyAlignment="1">
      <alignment horizontal="center"/>
    </xf>
  </cellXfs>
  <cellStyles count="3">
    <cellStyle name="Euro" xfId="1" xr:uid="{00000000-0005-0000-0000-000000000000}"/>
    <cellStyle name="Normal" xfId="0" builtinId="0"/>
    <cellStyle name="Porcentaje" xfId="2" builtinId="5"/>
  </cellStyles>
  <dxfs count="81">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ont>
        <b/>
        <i val="0"/>
      </font>
      <fill>
        <patternFill>
          <bgColor rgb="FF00FF00"/>
        </patternFill>
      </fill>
    </dxf>
    <dxf>
      <fill>
        <patternFill>
          <bgColor rgb="FFFFFF00"/>
        </patternFill>
      </fill>
    </dxf>
    <dxf>
      <font>
        <b/>
        <i val="0"/>
        <color theme="0"/>
      </font>
      <fill>
        <patternFill>
          <bgColor rgb="FFFF0000"/>
        </patternFill>
      </fill>
    </dxf>
    <dxf>
      <fill>
        <patternFill>
          <bgColor indexed="10"/>
        </patternFill>
      </fill>
    </dxf>
    <dxf>
      <fill>
        <patternFill>
          <bgColor indexed="13"/>
        </patternFill>
      </fill>
    </dxf>
    <dxf>
      <fill>
        <patternFill>
          <bgColor indexed="11"/>
        </patternFill>
      </fill>
    </dxf>
    <dxf>
      <font>
        <b/>
        <i val="0"/>
      </font>
      <fill>
        <patternFill>
          <bgColor rgb="FF00FF00"/>
        </patternFill>
      </fill>
    </dxf>
    <dxf>
      <fill>
        <patternFill>
          <bgColor rgb="FFFFFF00"/>
        </patternFill>
      </fill>
    </dxf>
    <dxf>
      <font>
        <b/>
        <i val="0"/>
        <color theme="0"/>
      </font>
      <fill>
        <patternFill>
          <bgColor rgb="FFFF0000"/>
        </patternFill>
      </fill>
    </dxf>
    <dxf>
      <fill>
        <patternFill>
          <bgColor indexed="10"/>
        </patternFill>
      </fill>
    </dxf>
    <dxf>
      <fill>
        <patternFill>
          <bgColor indexed="13"/>
        </patternFill>
      </fill>
    </dxf>
    <dxf>
      <fill>
        <patternFill>
          <bgColor indexed="11"/>
        </patternFill>
      </fill>
    </dxf>
    <dxf>
      <font>
        <b/>
        <i val="0"/>
      </font>
      <fill>
        <patternFill>
          <bgColor rgb="FF00FF00"/>
        </patternFill>
      </fill>
    </dxf>
    <dxf>
      <fill>
        <patternFill>
          <bgColor rgb="FFFFFF00"/>
        </patternFill>
      </fill>
    </dxf>
    <dxf>
      <font>
        <b/>
        <i val="0"/>
        <color theme="0"/>
      </font>
      <fill>
        <patternFill>
          <bgColor rgb="FFFF0000"/>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indexed="10"/>
        </patternFill>
      </fill>
    </dxf>
    <dxf>
      <fill>
        <patternFill>
          <bgColor indexed="13"/>
        </patternFill>
      </fill>
    </dxf>
    <dxf>
      <fill>
        <patternFill>
          <bgColor indexed="11"/>
        </patternFill>
      </fill>
    </dxf>
    <dxf>
      <font>
        <b val="0"/>
        <i val="0"/>
        <strike val="0"/>
        <condense val="0"/>
        <extend val="0"/>
        <outline val="0"/>
        <shadow val="0"/>
        <u val="none"/>
        <vertAlign val="baseline"/>
        <sz val="12"/>
        <color rgb="FFFF0000"/>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0000"/>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0000"/>
      </font>
      <protection locked="0" hidden="0"/>
    </dxf>
    <dxf>
      <font>
        <b val="0"/>
        <i val="0"/>
        <strike val="0"/>
        <condense val="0"/>
        <extend val="0"/>
        <outline val="0"/>
        <shadow val="0"/>
        <u val="none"/>
        <vertAlign val="baseline"/>
        <sz val="12"/>
        <color rgb="FFFF0000"/>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0000"/>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0000"/>
      </font>
      <protection locked="0" hidden="0"/>
    </dxf>
    <dxf>
      <font>
        <b val="0"/>
        <i val="0"/>
        <strike val="0"/>
        <condense val="0"/>
        <extend val="0"/>
        <outline val="0"/>
        <shadow val="0"/>
        <u val="none"/>
        <vertAlign val="baseline"/>
        <sz val="12"/>
        <color rgb="FFFF0000"/>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0000"/>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0000"/>
      </font>
      <protection locked="0" hidden="0"/>
    </dxf>
    <dxf>
      <font>
        <b val="0"/>
        <i val="0"/>
        <strike val="0"/>
        <condense val="0"/>
        <extend val="0"/>
        <outline val="0"/>
        <shadow val="0"/>
        <u val="none"/>
        <vertAlign val="baseline"/>
        <sz val="12"/>
        <color rgb="FFFF0000"/>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0000"/>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0000"/>
      </font>
      <protection locked="0" hidden="0"/>
    </dxf>
    <dxf>
      <font>
        <b val="0"/>
        <i val="0"/>
        <strike val="0"/>
        <condense val="0"/>
        <extend val="0"/>
        <outline val="0"/>
        <shadow val="0"/>
        <u val="none"/>
        <vertAlign val="baseline"/>
        <sz val="12"/>
        <color rgb="FFFF0000"/>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0000"/>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0000"/>
      </font>
      <protection locked="0" hidden="0"/>
    </dxf>
    <dxf>
      <font>
        <b val="0"/>
        <i val="0"/>
        <strike val="0"/>
        <condense val="0"/>
        <extend val="0"/>
        <outline val="0"/>
        <shadow val="0"/>
        <u val="none"/>
        <vertAlign val="baseline"/>
        <sz val="12"/>
        <color rgb="FFFF0000"/>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0000"/>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0000"/>
      </font>
      <protection locked="0" hidden="0"/>
    </dxf>
    <dxf>
      <font>
        <b val="0"/>
        <i val="0"/>
        <strike val="0"/>
        <condense val="0"/>
        <extend val="0"/>
        <outline val="0"/>
        <shadow val="0"/>
        <u val="none"/>
        <vertAlign val="baseline"/>
        <sz val="12"/>
        <color rgb="FFFF0000"/>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0000"/>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0000"/>
      </font>
      <protection locked="0" hidden="0"/>
    </dxf>
    <dxf>
      <font>
        <b val="0"/>
        <i val="0"/>
        <strike val="0"/>
        <condense val="0"/>
        <extend val="0"/>
        <outline val="0"/>
        <shadow val="0"/>
        <u val="none"/>
        <vertAlign val="baseline"/>
        <sz val="12"/>
        <color rgb="FFFF0000"/>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0000"/>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0000"/>
      </font>
      <protection locked="0" hidden="0"/>
    </dxf>
    <dxf>
      <font>
        <b val="0"/>
        <i val="0"/>
        <strike val="0"/>
        <condense val="0"/>
        <extend val="0"/>
        <outline val="0"/>
        <shadow val="0"/>
        <u val="none"/>
        <vertAlign val="baseline"/>
        <sz val="12"/>
        <color rgb="FFFF0000"/>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0000"/>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0000"/>
      </font>
      <protection locked="0" hidden="0"/>
    </dxf>
    <dxf>
      <font>
        <b val="0"/>
        <i val="0"/>
        <strike val="0"/>
        <condense val="0"/>
        <extend val="0"/>
        <outline val="0"/>
        <shadow val="0"/>
        <u val="none"/>
        <vertAlign val="baseline"/>
        <sz val="12"/>
        <color rgb="FFFF0000"/>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0000"/>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0000"/>
      </font>
      <protection locked="0" hidden="0"/>
    </dxf>
    <dxf>
      <font>
        <b val="0"/>
        <i val="0"/>
        <strike val="0"/>
        <condense val="0"/>
        <extend val="0"/>
        <outline val="0"/>
        <shadow val="0"/>
        <u val="none"/>
        <vertAlign val="baseline"/>
        <sz val="12"/>
        <color rgb="FFFF0000"/>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0000"/>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0000"/>
      </font>
      <protection locked="0" hidden="0"/>
    </dxf>
  </dxfs>
  <tableStyles count="0" defaultTableStyle="TableStyleMedium9" defaultPivotStyle="PivotStyleLight16"/>
  <colors>
    <mruColors>
      <color rgb="FFFFCCFF"/>
      <color rgb="FFCC00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8.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1" u="none" strike="noStrike" baseline="0">
                <a:solidFill>
                  <a:srgbClr val="000000"/>
                </a:solidFill>
                <a:latin typeface="Arial"/>
                <a:ea typeface="Arial"/>
                <a:cs typeface="Arial"/>
              </a:defRPr>
            </a:pPr>
            <a:r>
              <a:rPr lang="en-US"/>
              <a:t>PERFORMANCE DE INDICADORES PRIMER TRIMESTRE 2023</a:t>
            </a:r>
          </a:p>
        </c:rich>
      </c:tx>
      <c:layout>
        <c:manualLayout>
          <c:xMode val="edge"/>
          <c:yMode val="edge"/>
          <c:x val="0.12244022775841544"/>
          <c:y val="5.7250336544608142E-2"/>
        </c:manualLayout>
      </c:layout>
      <c:overlay val="0"/>
      <c:spPr>
        <a:solidFill>
          <a:srgbClr val="CCCCFF"/>
        </a:solidFill>
        <a:ln w="25400">
          <a:noFill/>
        </a:ln>
      </c:spPr>
    </c:title>
    <c:autoTitleDeleted val="0"/>
    <c:plotArea>
      <c:layout>
        <c:manualLayout>
          <c:layoutTarget val="inner"/>
          <c:xMode val="edge"/>
          <c:yMode val="edge"/>
          <c:x val="0.19827746941468383"/>
          <c:y val="0.22943938978137116"/>
          <c:w val="0.58823602870747671"/>
          <c:h val="0.65902671000110524"/>
        </c:manualLayout>
      </c:layout>
      <c:doughnutChart>
        <c:varyColors val="1"/>
        <c:ser>
          <c:idx val="0"/>
          <c:order val="0"/>
          <c:spPr>
            <a:solidFill>
              <a:srgbClr val="9999FF"/>
            </a:solidFill>
            <a:ln w="12700">
              <a:solidFill>
                <a:srgbClr val="000000"/>
              </a:solidFill>
              <a:prstDash val="solid"/>
            </a:ln>
          </c:spPr>
          <c:dPt>
            <c:idx val="0"/>
            <c:bubble3D val="0"/>
            <c:spPr>
              <a:solidFill>
                <a:srgbClr val="00FF00"/>
              </a:solidFill>
              <a:ln w="12700">
                <a:solidFill>
                  <a:srgbClr val="000000"/>
                </a:solidFill>
                <a:prstDash val="solid"/>
              </a:ln>
            </c:spPr>
            <c:extLst>
              <c:ext xmlns:c16="http://schemas.microsoft.com/office/drawing/2014/chart" uri="{C3380CC4-5D6E-409C-BE32-E72D297353CC}">
                <c16:uniqueId val="{00000000-EC26-484E-AAC3-A3A2787963B6}"/>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1-EC26-484E-AAC3-A3A2787963B6}"/>
              </c:ext>
            </c:extLst>
          </c:dPt>
          <c:dPt>
            <c:idx val="2"/>
            <c:bubble3D val="0"/>
            <c:spPr>
              <a:solidFill>
                <a:srgbClr val="FF0000"/>
              </a:solidFill>
              <a:ln w="12700">
                <a:solidFill>
                  <a:srgbClr val="000000"/>
                </a:solidFill>
                <a:prstDash val="solid"/>
              </a:ln>
            </c:spPr>
            <c:extLst>
              <c:ext xmlns:c16="http://schemas.microsoft.com/office/drawing/2014/chart" uri="{C3380CC4-5D6E-409C-BE32-E72D297353CC}">
                <c16:uniqueId val="{00000002-EC26-484E-AAC3-A3A2787963B6}"/>
              </c:ext>
            </c:extLst>
          </c:dPt>
          <c:dLbls>
            <c:spPr>
              <a:solidFill>
                <a:srgbClr val="FFFFFF"/>
              </a:solidFill>
              <a:ln w="25400">
                <a:noFill/>
              </a:ln>
            </c:spPr>
            <c:txPr>
              <a:bodyPr wrap="square" lIns="38100" tIns="19050" rIns="38100" bIns="19050" anchor="ctr">
                <a:spAutoFit/>
              </a:bodyPr>
              <a:lstStyle/>
              <a:p>
                <a:pPr>
                  <a:defRPr sz="800" b="1" i="1"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extLst>
          </c:dLbls>
          <c:cat>
            <c:strRef>
              <c:f>Performance!$C$18:$E$18</c:f>
              <c:strCache>
                <c:ptCount val="3"/>
                <c:pt idx="0">
                  <c:v>ADECUADO</c:v>
                </c:pt>
                <c:pt idx="1">
                  <c:v>REGULAR </c:v>
                </c:pt>
                <c:pt idx="2">
                  <c:v>DEFICIENTE</c:v>
                </c:pt>
              </c:strCache>
            </c:strRef>
          </c:cat>
          <c:val>
            <c:numRef>
              <c:f>Performance!$C$23:$E$23</c:f>
              <c:numCache>
                <c:formatCode>0.0%</c:formatCode>
                <c:ptCount val="3"/>
                <c:pt idx="0">
                  <c:v>0.13333333333333333</c:v>
                </c:pt>
                <c:pt idx="1">
                  <c:v>0.13333333333333333</c:v>
                </c:pt>
                <c:pt idx="2">
                  <c:v>0.73333333333333328</c:v>
                </c:pt>
              </c:numCache>
            </c:numRef>
          </c:val>
          <c:extLst>
            <c:ext xmlns:c16="http://schemas.microsoft.com/office/drawing/2014/chart" uri="{C3380CC4-5D6E-409C-BE32-E72D297353CC}">
              <c16:uniqueId val="{00000003-EC26-484E-AAC3-A3A2787963B6}"/>
            </c:ext>
          </c:extLst>
        </c:ser>
        <c:dLbls>
          <c:showLegendKey val="0"/>
          <c:showVal val="0"/>
          <c:showCatName val="0"/>
          <c:showSerName val="0"/>
          <c:showPercent val="0"/>
          <c:showBubbleSize val="0"/>
          <c:showLeaderLines val="0"/>
        </c:dLbls>
        <c:firstSliceAng val="0"/>
        <c:holeSize val="40"/>
      </c:doughnutChart>
      <c:spPr>
        <a:noFill/>
        <a:ln w="25400">
          <a:noFill/>
        </a:ln>
      </c:spPr>
    </c:plotArea>
    <c:legend>
      <c:legendPos val="b"/>
      <c:overlay val="0"/>
      <c:spPr>
        <a:solidFill>
          <a:srgbClr val="FFFFFF"/>
        </a:solidFill>
        <a:ln w="3175">
          <a:solidFill>
            <a:srgbClr val="000000"/>
          </a:solidFill>
          <a:prstDash val="solid"/>
        </a:ln>
      </c:spPr>
      <c:txPr>
        <a:bodyPr/>
        <a:lstStyle/>
        <a:p>
          <a:pPr>
            <a:defRPr sz="620" b="1" i="1" u="none" strike="noStrike" baseline="0">
              <a:solidFill>
                <a:srgbClr val="000000"/>
              </a:solidFill>
              <a:latin typeface="Arial"/>
              <a:ea typeface="Arial"/>
              <a:cs typeface="Arial"/>
            </a:defRPr>
          </a:pPr>
          <a:endParaRPr lang="es-E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1" u="none" strike="noStrike" baseline="0">
                <a:solidFill>
                  <a:srgbClr val="000000"/>
                </a:solidFill>
                <a:latin typeface="Arial"/>
                <a:ea typeface="Arial"/>
                <a:cs typeface="Arial"/>
              </a:defRPr>
            </a:pPr>
            <a:r>
              <a:rPr lang="en-US"/>
              <a:t>PERFORMANCE DE INDICADORES SEGUNDO TRIMESTRE 2023</a:t>
            </a:r>
          </a:p>
        </c:rich>
      </c:tx>
      <c:layout>
        <c:manualLayout>
          <c:xMode val="edge"/>
          <c:yMode val="edge"/>
          <c:x val="0.12244022775841544"/>
          <c:y val="5.7250336544608142E-2"/>
        </c:manualLayout>
      </c:layout>
      <c:overlay val="0"/>
      <c:spPr>
        <a:solidFill>
          <a:srgbClr val="CCCCFF"/>
        </a:solidFill>
        <a:ln w="25400">
          <a:noFill/>
        </a:ln>
      </c:spPr>
    </c:title>
    <c:autoTitleDeleted val="0"/>
    <c:plotArea>
      <c:layout>
        <c:manualLayout>
          <c:layoutTarget val="inner"/>
          <c:xMode val="edge"/>
          <c:yMode val="edge"/>
          <c:x val="0.19827746941468383"/>
          <c:y val="0.22943938978137129"/>
          <c:w val="0.58823602870747638"/>
          <c:h val="0.65902671000110546"/>
        </c:manualLayout>
      </c:layout>
      <c:doughnutChart>
        <c:varyColors val="1"/>
        <c:ser>
          <c:idx val="0"/>
          <c:order val="0"/>
          <c:spPr>
            <a:solidFill>
              <a:srgbClr val="9999FF"/>
            </a:solidFill>
            <a:ln w="12700">
              <a:solidFill>
                <a:srgbClr val="000000"/>
              </a:solidFill>
              <a:prstDash val="solid"/>
            </a:ln>
          </c:spPr>
          <c:dPt>
            <c:idx val="0"/>
            <c:bubble3D val="0"/>
            <c:spPr>
              <a:solidFill>
                <a:srgbClr val="00FF00"/>
              </a:solidFill>
              <a:ln w="12700">
                <a:solidFill>
                  <a:srgbClr val="000000"/>
                </a:solidFill>
                <a:prstDash val="solid"/>
              </a:ln>
            </c:spPr>
            <c:extLst>
              <c:ext xmlns:c16="http://schemas.microsoft.com/office/drawing/2014/chart" uri="{C3380CC4-5D6E-409C-BE32-E72D297353CC}">
                <c16:uniqueId val="{00000000-34EB-4C64-88CB-45722E822A44}"/>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1-34EB-4C64-88CB-45722E822A44}"/>
              </c:ext>
            </c:extLst>
          </c:dPt>
          <c:dPt>
            <c:idx val="2"/>
            <c:bubble3D val="0"/>
            <c:spPr>
              <a:solidFill>
                <a:srgbClr val="FF0000"/>
              </a:solidFill>
              <a:ln w="12700">
                <a:solidFill>
                  <a:srgbClr val="000000"/>
                </a:solidFill>
                <a:prstDash val="solid"/>
              </a:ln>
            </c:spPr>
            <c:extLst>
              <c:ext xmlns:c16="http://schemas.microsoft.com/office/drawing/2014/chart" uri="{C3380CC4-5D6E-409C-BE32-E72D297353CC}">
                <c16:uniqueId val="{00000002-34EB-4C64-88CB-45722E822A44}"/>
              </c:ext>
            </c:extLst>
          </c:dPt>
          <c:dLbls>
            <c:spPr>
              <a:solidFill>
                <a:srgbClr val="FFFFFF"/>
              </a:solidFill>
              <a:ln w="25400">
                <a:noFill/>
              </a:ln>
            </c:spPr>
            <c:txPr>
              <a:bodyPr wrap="square" lIns="38100" tIns="19050" rIns="38100" bIns="19050" anchor="ctr">
                <a:spAutoFit/>
              </a:bodyPr>
              <a:lstStyle/>
              <a:p>
                <a:pPr>
                  <a:defRPr sz="800" b="1" i="1"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extLst>
          </c:dLbls>
          <c:cat>
            <c:strRef>
              <c:f>Performance!$C$18:$E$18</c:f>
              <c:strCache>
                <c:ptCount val="3"/>
                <c:pt idx="0">
                  <c:v>ADECUADO</c:v>
                </c:pt>
                <c:pt idx="1">
                  <c:v>REGULAR </c:v>
                </c:pt>
                <c:pt idx="2">
                  <c:v>DEFICIENTE</c:v>
                </c:pt>
              </c:strCache>
            </c:strRef>
          </c:cat>
          <c:val>
            <c:numRef>
              <c:f>Performance!$C$32:$E$32</c:f>
              <c:numCache>
                <c:formatCode>0.0%</c:formatCode>
                <c:ptCount val="3"/>
                <c:pt idx="0">
                  <c:v>0.13333333333333333</c:v>
                </c:pt>
                <c:pt idx="1">
                  <c:v>0.13333333333333333</c:v>
                </c:pt>
                <c:pt idx="2">
                  <c:v>0.73333333333333328</c:v>
                </c:pt>
              </c:numCache>
            </c:numRef>
          </c:val>
          <c:extLst>
            <c:ext xmlns:c16="http://schemas.microsoft.com/office/drawing/2014/chart" uri="{C3380CC4-5D6E-409C-BE32-E72D297353CC}">
              <c16:uniqueId val="{00000003-34EB-4C64-88CB-45722E822A44}"/>
            </c:ext>
          </c:extLst>
        </c:ser>
        <c:dLbls>
          <c:showLegendKey val="0"/>
          <c:showVal val="0"/>
          <c:showCatName val="0"/>
          <c:showSerName val="0"/>
          <c:showPercent val="0"/>
          <c:showBubbleSize val="0"/>
          <c:showLeaderLines val="0"/>
        </c:dLbls>
        <c:firstSliceAng val="0"/>
        <c:holeSize val="40"/>
      </c:doughnutChart>
      <c:spPr>
        <a:noFill/>
        <a:ln w="25400">
          <a:noFill/>
        </a:ln>
      </c:spPr>
    </c:plotArea>
    <c:legend>
      <c:legendPos val="b"/>
      <c:overlay val="0"/>
      <c:spPr>
        <a:solidFill>
          <a:srgbClr val="FFFFFF"/>
        </a:solidFill>
        <a:ln w="3175">
          <a:solidFill>
            <a:srgbClr val="000000"/>
          </a:solidFill>
          <a:prstDash val="solid"/>
        </a:ln>
      </c:spPr>
      <c:txPr>
        <a:bodyPr/>
        <a:lstStyle/>
        <a:p>
          <a:pPr>
            <a:defRPr sz="620" b="1" i="1" u="none" strike="noStrike" baseline="0">
              <a:solidFill>
                <a:srgbClr val="000000"/>
              </a:solidFill>
              <a:latin typeface="Arial"/>
              <a:ea typeface="Arial"/>
              <a:cs typeface="Arial"/>
            </a:defRPr>
          </a:pPr>
          <a:endParaRPr lang="es-E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022" r="0.75000000000000022"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1" u="none" strike="noStrike" baseline="0">
                <a:solidFill>
                  <a:srgbClr val="000000"/>
                </a:solidFill>
                <a:latin typeface="Arial"/>
                <a:ea typeface="Arial"/>
                <a:cs typeface="Arial"/>
              </a:defRPr>
            </a:pPr>
            <a:r>
              <a:rPr lang="en-US"/>
              <a:t>PERFORMANCE DE INDICADORES TERCER TRIMESTRE 2023</a:t>
            </a:r>
          </a:p>
        </c:rich>
      </c:tx>
      <c:layout>
        <c:manualLayout>
          <c:xMode val="edge"/>
          <c:yMode val="edge"/>
          <c:x val="0.12244022775841544"/>
          <c:y val="5.7250336544608142E-2"/>
        </c:manualLayout>
      </c:layout>
      <c:overlay val="0"/>
      <c:spPr>
        <a:solidFill>
          <a:srgbClr val="CCCCFF"/>
        </a:solidFill>
        <a:ln w="25400">
          <a:noFill/>
        </a:ln>
      </c:spPr>
    </c:title>
    <c:autoTitleDeleted val="0"/>
    <c:plotArea>
      <c:layout>
        <c:manualLayout>
          <c:layoutTarget val="inner"/>
          <c:xMode val="edge"/>
          <c:yMode val="edge"/>
          <c:x val="0.19827746941468383"/>
          <c:y val="0.22943938978137143"/>
          <c:w val="0.58823602870747616"/>
          <c:h val="0.6590267100011058"/>
        </c:manualLayout>
      </c:layout>
      <c:doughnutChart>
        <c:varyColors val="1"/>
        <c:ser>
          <c:idx val="0"/>
          <c:order val="0"/>
          <c:spPr>
            <a:solidFill>
              <a:srgbClr val="9999FF"/>
            </a:solidFill>
            <a:ln w="12700">
              <a:solidFill>
                <a:srgbClr val="000000"/>
              </a:solidFill>
              <a:prstDash val="solid"/>
            </a:ln>
          </c:spPr>
          <c:dPt>
            <c:idx val="0"/>
            <c:bubble3D val="0"/>
            <c:spPr>
              <a:solidFill>
                <a:srgbClr val="00FF00"/>
              </a:solidFill>
              <a:ln w="12700">
                <a:solidFill>
                  <a:srgbClr val="000000"/>
                </a:solidFill>
                <a:prstDash val="solid"/>
              </a:ln>
            </c:spPr>
            <c:extLst>
              <c:ext xmlns:c16="http://schemas.microsoft.com/office/drawing/2014/chart" uri="{C3380CC4-5D6E-409C-BE32-E72D297353CC}">
                <c16:uniqueId val="{00000000-8B12-48E3-8928-1B51A40A3249}"/>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1-8B12-48E3-8928-1B51A40A3249}"/>
              </c:ext>
            </c:extLst>
          </c:dPt>
          <c:dPt>
            <c:idx val="2"/>
            <c:bubble3D val="0"/>
            <c:spPr>
              <a:solidFill>
                <a:srgbClr val="FF0000"/>
              </a:solidFill>
              <a:ln w="12700">
                <a:solidFill>
                  <a:srgbClr val="000000"/>
                </a:solidFill>
                <a:prstDash val="solid"/>
              </a:ln>
            </c:spPr>
            <c:extLst>
              <c:ext xmlns:c16="http://schemas.microsoft.com/office/drawing/2014/chart" uri="{C3380CC4-5D6E-409C-BE32-E72D297353CC}">
                <c16:uniqueId val="{00000002-8B12-48E3-8928-1B51A40A3249}"/>
              </c:ext>
            </c:extLst>
          </c:dPt>
          <c:dLbls>
            <c:spPr>
              <a:solidFill>
                <a:srgbClr val="FFFFFF"/>
              </a:solidFill>
              <a:ln w="25400">
                <a:noFill/>
              </a:ln>
            </c:spPr>
            <c:txPr>
              <a:bodyPr wrap="square" lIns="38100" tIns="19050" rIns="38100" bIns="19050" anchor="ctr">
                <a:spAutoFit/>
              </a:bodyPr>
              <a:lstStyle/>
              <a:p>
                <a:pPr>
                  <a:defRPr sz="800" b="1" i="1"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extLst>
          </c:dLbls>
          <c:cat>
            <c:strRef>
              <c:f>Performance!$C$18:$E$18</c:f>
              <c:strCache>
                <c:ptCount val="3"/>
                <c:pt idx="0">
                  <c:v>ADECUADO</c:v>
                </c:pt>
                <c:pt idx="1">
                  <c:v>REGULAR </c:v>
                </c:pt>
                <c:pt idx="2">
                  <c:v>DEFICIENTE</c:v>
                </c:pt>
              </c:strCache>
            </c:strRef>
          </c:cat>
          <c:val>
            <c:numRef>
              <c:f>Performance!$C$43:$E$43</c:f>
              <c:numCache>
                <c:formatCode>0%</c:formatCode>
                <c:ptCount val="3"/>
                <c:pt idx="0">
                  <c:v>0</c:v>
                </c:pt>
                <c:pt idx="1">
                  <c:v>0</c:v>
                </c:pt>
                <c:pt idx="2">
                  <c:v>0</c:v>
                </c:pt>
              </c:numCache>
            </c:numRef>
          </c:val>
          <c:extLst>
            <c:ext xmlns:c16="http://schemas.microsoft.com/office/drawing/2014/chart" uri="{C3380CC4-5D6E-409C-BE32-E72D297353CC}">
              <c16:uniqueId val="{00000003-8B12-48E3-8928-1B51A40A3249}"/>
            </c:ext>
          </c:extLst>
        </c:ser>
        <c:dLbls>
          <c:showLegendKey val="0"/>
          <c:showVal val="0"/>
          <c:showCatName val="0"/>
          <c:showSerName val="0"/>
          <c:showPercent val="0"/>
          <c:showBubbleSize val="0"/>
          <c:showLeaderLines val="0"/>
        </c:dLbls>
        <c:firstSliceAng val="0"/>
        <c:holeSize val="40"/>
      </c:doughnutChart>
      <c:spPr>
        <a:noFill/>
        <a:ln w="25400">
          <a:noFill/>
        </a:ln>
      </c:spPr>
    </c:plotArea>
    <c:legend>
      <c:legendPos val="b"/>
      <c:overlay val="0"/>
      <c:spPr>
        <a:solidFill>
          <a:srgbClr val="FFFFFF"/>
        </a:solidFill>
        <a:ln w="3175">
          <a:solidFill>
            <a:srgbClr val="000000"/>
          </a:solidFill>
          <a:prstDash val="solid"/>
        </a:ln>
      </c:spPr>
      <c:txPr>
        <a:bodyPr/>
        <a:lstStyle/>
        <a:p>
          <a:pPr>
            <a:defRPr sz="620" b="1" i="1" u="none" strike="noStrike" baseline="0">
              <a:solidFill>
                <a:srgbClr val="000000"/>
              </a:solidFill>
              <a:latin typeface="Arial"/>
              <a:ea typeface="Arial"/>
              <a:cs typeface="Arial"/>
            </a:defRPr>
          </a:pPr>
          <a:endParaRPr lang="es-E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044" r="0.75000000000000044"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1" u="none" strike="noStrike" baseline="0">
                <a:solidFill>
                  <a:srgbClr val="000000"/>
                </a:solidFill>
                <a:latin typeface="Arial"/>
                <a:ea typeface="Arial"/>
                <a:cs typeface="Arial"/>
              </a:defRPr>
            </a:pPr>
            <a:r>
              <a:rPr lang="en-US"/>
              <a:t>PERFORMANCE DE INDICADORES CUARTO TRIMESTRE 2023</a:t>
            </a:r>
          </a:p>
        </c:rich>
      </c:tx>
      <c:layout>
        <c:manualLayout>
          <c:xMode val="edge"/>
          <c:yMode val="edge"/>
          <c:x val="0.12244022775841544"/>
          <c:y val="5.7250336544608142E-2"/>
        </c:manualLayout>
      </c:layout>
      <c:overlay val="0"/>
      <c:spPr>
        <a:solidFill>
          <a:srgbClr val="CCCCFF"/>
        </a:solidFill>
        <a:ln w="25400">
          <a:noFill/>
        </a:ln>
      </c:spPr>
    </c:title>
    <c:autoTitleDeleted val="0"/>
    <c:plotArea>
      <c:layout>
        <c:manualLayout>
          <c:layoutTarget val="inner"/>
          <c:xMode val="edge"/>
          <c:yMode val="edge"/>
          <c:x val="0.19827746941468383"/>
          <c:y val="0.22943938978137154"/>
          <c:w val="0.58823602870747582"/>
          <c:h val="0.65902671000110602"/>
        </c:manualLayout>
      </c:layout>
      <c:doughnutChart>
        <c:varyColors val="1"/>
        <c:ser>
          <c:idx val="0"/>
          <c:order val="0"/>
          <c:spPr>
            <a:solidFill>
              <a:srgbClr val="9999FF"/>
            </a:solidFill>
            <a:ln w="12700">
              <a:solidFill>
                <a:srgbClr val="000000"/>
              </a:solidFill>
              <a:prstDash val="solid"/>
            </a:ln>
          </c:spPr>
          <c:dPt>
            <c:idx val="0"/>
            <c:bubble3D val="0"/>
            <c:spPr>
              <a:solidFill>
                <a:srgbClr val="00FF00"/>
              </a:solidFill>
              <a:ln w="12700">
                <a:solidFill>
                  <a:srgbClr val="000000"/>
                </a:solidFill>
                <a:prstDash val="solid"/>
              </a:ln>
            </c:spPr>
            <c:extLst>
              <c:ext xmlns:c16="http://schemas.microsoft.com/office/drawing/2014/chart" uri="{C3380CC4-5D6E-409C-BE32-E72D297353CC}">
                <c16:uniqueId val="{00000000-4F74-4126-A6B4-2931023C86D5}"/>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1-4F74-4126-A6B4-2931023C86D5}"/>
              </c:ext>
            </c:extLst>
          </c:dPt>
          <c:dPt>
            <c:idx val="2"/>
            <c:bubble3D val="0"/>
            <c:spPr>
              <a:solidFill>
                <a:srgbClr val="FF0000"/>
              </a:solidFill>
              <a:ln w="12700">
                <a:solidFill>
                  <a:srgbClr val="000000"/>
                </a:solidFill>
                <a:prstDash val="solid"/>
              </a:ln>
            </c:spPr>
            <c:extLst>
              <c:ext xmlns:c16="http://schemas.microsoft.com/office/drawing/2014/chart" uri="{C3380CC4-5D6E-409C-BE32-E72D297353CC}">
                <c16:uniqueId val="{00000002-4F74-4126-A6B4-2931023C86D5}"/>
              </c:ext>
            </c:extLst>
          </c:dPt>
          <c:dLbls>
            <c:spPr>
              <a:solidFill>
                <a:srgbClr val="FFFFFF"/>
              </a:solidFill>
              <a:ln w="25400">
                <a:noFill/>
              </a:ln>
            </c:spPr>
            <c:txPr>
              <a:bodyPr wrap="square" lIns="38100" tIns="19050" rIns="38100" bIns="19050" anchor="ctr">
                <a:spAutoFit/>
              </a:bodyPr>
              <a:lstStyle/>
              <a:p>
                <a:pPr>
                  <a:defRPr sz="800" b="1" i="1"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extLst>
          </c:dLbls>
          <c:cat>
            <c:strRef>
              <c:f>Performance!$C$18:$E$18</c:f>
              <c:strCache>
                <c:ptCount val="3"/>
                <c:pt idx="0">
                  <c:v>ADECUADO</c:v>
                </c:pt>
                <c:pt idx="1">
                  <c:v>REGULAR </c:v>
                </c:pt>
                <c:pt idx="2">
                  <c:v>DEFICIENTE</c:v>
                </c:pt>
              </c:strCache>
            </c:strRef>
          </c:cat>
          <c:val>
            <c:numRef>
              <c:f>Performance!$C$54:$E$54</c:f>
              <c:numCache>
                <c:formatCode>0%</c:formatCode>
                <c:ptCount val="3"/>
                <c:pt idx="0">
                  <c:v>0</c:v>
                </c:pt>
                <c:pt idx="1">
                  <c:v>0</c:v>
                </c:pt>
                <c:pt idx="2">
                  <c:v>0</c:v>
                </c:pt>
              </c:numCache>
            </c:numRef>
          </c:val>
          <c:extLst>
            <c:ext xmlns:c16="http://schemas.microsoft.com/office/drawing/2014/chart" uri="{C3380CC4-5D6E-409C-BE32-E72D297353CC}">
              <c16:uniqueId val="{00000003-4F74-4126-A6B4-2931023C86D5}"/>
            </c:ext>
          </c:extLst>
        </c:ser>
        <c:dLbls>
          <c:showLegendKey val="0"/>
          <c:showVal val="0"/>
          <c:showCatName val="0"/>
          <c:showSerName val="0"/>
          <c:showPercent val="0"/>
          <c:showBubbleSize val="0"/>
          <c:showLeaderLines val="0"/>
        </c:dLbls>
        <c:firstSliceAng val="0"/>
        <c:holeSize val="40"/>
      </c:doughnutChart>
      <c:spPr>
        <a:noFill/>
        <a:ln w="25400">
          <a:noFill/>
        </a:ln>
      </c:spPr>
    </c:plotArea>
    <c:legend>
      <c:legendPos val="b"/>
      <c:overlay val="0"/>
      <c:spPr>
        <a:solidFill>
          <a:srgbClr val="FFFFFF"/>
        </a:solidFill>
        <a:ln w="3175">
          <a:solidFill>
            <a:srgbClr val="000000"/>
          </a:solidFill>
          <a:prstDash val="solid"/>
        </a:ln>
      </c:spPr>
      <c:txPr>
        <a:bodyPr/>
        <a:lstStyle/>
        <a:p>
          <a:pPr>
            <a:defRPr sz="620" b="1" i="1" u="none" strike="noStrike" baseline="0">
              <a:solidFill>
                <a:srgbClr val="000000"/>
              </a:solidFill>
              <a:latin typeface="Arial"/>
              <a:ea typeface="Arial"/>
              <a:cs typeface="Arial"/>
            </a:defRPr>
          </a:pPr>
          <a:endParaRPr lang="es-E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078" r="0.75000000000000078" t="1" header="0" footer="0"/>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en-US" sz="1100" b="1" i="1" u="none" strike="noStrike" baseline="0">
                <a:solidFill>
                  <a:srgbClr val="000000"/>
                </a:solidFill>
                <a:latin typeface="Arial"/>
                <a:cs typeface="Arial"/>
              </a:rPr>
              <a:t>PERFORMANCE DE INDICADORES</a:t>
            </a:r>
          </a:p>
          <a:p>
            <a:pPr>
              <a:defRPr sz="800" b="0" i="0" u="none" strike="noStrike" baseline="0">
                <a:solidFill>
                  <a:srgbClr val="000000"/>
                </a:solidFill>
                <a:latin typeface="Arial"/>
                <a:ea typeface="Arial"/>
                <a:cs typeface="Arial"/>
              </a:defRPr>
            </a:pPr>
            <a:r>
              <a:rPr lang="en-US" sz="1100" b="1" i="1" u="none" strike="noStrike" baseline="0">
                <a:solidFill>
                  <a:srgbClr val="000000"/>
                </a:solidFill>
                <a:latin typeface="Arial"/>
                <a:cs typeface="Arial"/>
              </a:rPr>
              <a:t> AÑO 2023</a:t>
            </a:r>
          </a:p>
        </c:rich>
      </c:tx>
      <c:layout>
        <c:manualLayout>
          <c:xMode val="edge"/>
          <c:yMode val="edge"/>
          <c:x val="0.12244022775841544"/>
          <c:y val="5.7250336544608142E-2"/>
        </c:manualLayout>
      </c:layout>
      <c:overlay val="0"/>
      <c:spPr>
        <a:solidFill>
          <a:srgbClr val="CCCCFF"/>
        </a:solidFill>
        <a:ln w="25400">
          <a:noFill/>
        </a:ln>
      </c:spPr>
    </c:title>
    <c:autoTitleDeleted val="0"/>
    <c:plotArea>
      <c:layout>
        <c:manualLayout>
          <c:layoutTarget val="inner"/>
          <c:xMode val="edge"/>
          <c:yMode val="edge"/>
          <c:x val="0.19827746941468383"/>
          <c:y val="0.22943938978137168"/>
          <c:w val="0.58823602870747538"/>
          <c:h val="0.65902671000110624"/>
        </c:manualLayout>
      </c:layout>
      <c:doughnutChart>
        <c:varyColors val="1"/>
        <c:ser>
          <c:idx val="0"/>
          <c:order val="0"/>
          <c:spPr>
            <a:solidFill>
              <a:srgbClr val="9999FF"/>
            </a:solidFill>
            <a:ln w="12700">
              <a:solidFill>
                <a:srgbClr val="000000"/>
              </a:solidFill>
              <a:prstDash val="solid"/>
            </a:ln>
          </c:spPr>
          <c:dPt>
            <c:idx val="0"/>
            <c:bubble3D val="0"/>
            <c:spPr>
              <a:solidFill>
                <a:srgbClr val="00FF00"/>
              </a:solidFill>
              <a:ln w="12700">
                <a:solidFill>
                  <a:srgbClr val="000000"/>
                </a:solidFill>
                <a:prstDash val="solid"/>
              </a:ln>
            </c:spPr>
            <c:extLst>
              <c:ext xmlns:c16="http://schemas.microsoft.com/office/drawing/2014/chart" uri="{C3380CC4-5D6E-409C-BE32-E72D297353CC}">
                <c16:uniqueId val="{00000000-C463-44F9-A4EC-732171927936}"/>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1-C463-44F9-A4EC-732171927936}"/>
              </c:ext>
            </c:extLst>
          </c:dPt>
          <c:dPt>
            <c:idx val="2"/>
            <c:bubble3D val="0"/>
            <c:spPr>
              <a:solidFill>
                <a:srgbClr val="FF0000"/>
              </a:solidFill>
              <a:ln w="12700">
                <a:solidFill>
                  <a:srgbClr val="000000"/>
                </a:solidFill>
                <a:prstDash val="solid"/>
              </a:ln>
            </c:spPr>
            <c:extLst>
              <c:ext xmlns:c16="http://schemas.microsoft.com/office/drawing/2014/chart" uri="{C3380CC4-5D6E-409C-BE32-E72D297353CC}">
                <c16:uniqueId val="{00000002-C463-44F9-A4EC-732171927936}"/>
              </c:ext>
            </c:extLst>
          </c:dPt>
          <c:dLbls>
            <c:spPr>
              <a:solidFill>
                <a:srgbClr val="FFFFFF"/>
              </a:solidFill>
              <a:ln w="25400">
                <a:noFill/>
              </a:ln>
            </c:spPr>
            <c:txPr>
              <a:bodyPr wrap="square" lIns="38100" tIns="19050" rIns="38100" bIns="19050" anchor="ctr">
                <a:spAutoFit/>
              </a:bodyPr>
              <a:lstStyle/>
              <a:p>
                <a:pPr>
                  <a:defRPr sz="800" b="1" i="1"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extLst>
          </c:dLbls>
          <c:cat>
            <c:strRef>
              <c:f>Performance!$C$18:$E$18</c:f>
              <c:strCache>
                <c:ptCount val="3"/>
                <c:pt idx="0">
                  <c:v>ADECUADO</c:v>
                </c:pt>
                <c:pt idx="1">
                  <c:v>REGULAR </c:v>
                </c:pt>
                <c:pt idx="2">
                  <c:v>DEFICIENTE</c:v>
                </c:pt>
              </c:strCache>
            </c:strRef>
          </c:cat>
          <c:val>
            <c:numRef>
              <c:f>Performance!$C$65:$E$65</c:f>
              <c:numCache>
                <c:formatCode>0%</c:formatCode>
                <c:ptCount val="3"/>
                <c:pt idx="0">
                  <c:v>0.13333333333333333</c:v>
                </c:pt>
                <c:pt idx="1">
                  <c:v>0.13333333333333333</c:v>
                </c:pt>
                <c:pt idx="2">
                  <c:v>0.73333333333333328</c:v>
                </c:pt>
              </c:numCache>
            </c:numRef>
          </c:val>
          <c:extLst>
            <c:ext xmlns:c16="http://schemas.microsoft.com/office/drawing/2014/chart" uri="{C3380CC4-5D6E-409C-BE32-E72D297353CC}">
              <c16:uniqueId val="{00000003-C463-44F9-A4EC-732171927936}"/>
            </c:ext>
          </c:extLst>
        </c:ser>
        <c:dLbls>
          <c:showLegendKey val="0"/>
          <c:showVal val="0"/>
          <c:showCatName val="0"/>
          <c:showSerName val="0"/>
          <c:showPercent val="0"/>
          <c:showBubbleSize val="0"/>
          <c:showLeaderLines val="0"/>
        </c:dLbls>
        <c:firstSliceAng val="0"/>
        <c:holeSize val="40"/>
      </c:doughnutChart>
      <c:spPr>
        <a:noFill/>
        <a:ln w="25400">
          <a:noFill/>
        </a:ln>
      </c:spPr>
    </c:plotArea>
    <c:legend>
      <c:legendPos val="b"/>
      <c:overlay val="0"/>
      <c:spPr>
        <a:solidFill>
          <a:srgbClr val="FFFFFF"/>
        </a:solidFill>
        <a:ln w="3175">
          <a:solidFill>
            <a:srgbClr val="000000"/>
          </a:solidFill>
          <a:prstDash val="solid"/>
        </a:ln>
      </c:spPr>
      <c:txPr>
        <a:bodyPr/>
        <a:lstStyle/>
        <a:p>
          <a:pPr>
            <a:defRPr sz="620" b="1" i="1" u="none" strike="noStrike" baseline="0">
              <a:solidFill>
                <a:srgbClr val="000000"/>
              </a:solidFill>
              <a:latin typeface="Arial"/>
              <a:ea typeface="Arial"/>
              <a:cs typeface="Arial"/>
            </a:defRPr>
          </a:pPr>
          <a:endParaRPr lang="es-E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1" r="0.750000000000001"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PE"/>
              <a:t>ATENDIDOS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strRef>
              <c:f>Graficos!$B$28</c:f>
              <c:strCache>
                <c:ptCount val="1"/>
                <c:pt idx="0">
                  <c:v>ATENDIDOS 2022</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 sourceLinked="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Graficos!$A$29:$A$33</c:f>
              <c:strCache>
                <c:ptCount val="5"/>
                <c:pt idx="0">
                  <c:v>I TRIMESTRE</c:v>
                </c:pt>
                <c:pt idx="1">
                  <c:v>II TRIMESTRE</c:v>
                </c:pt>
                <c:pt idx="2">
                  <c:v>III TRIMESTRE</c:v>
                </c:pt>
                <c:pt idx="3">
                  <c:v>IV TRIMESTRE</c:v>
                </c:pt>
                <c:pt idx="4">
                  <c:v>ANUAL</c:v>
                </c:pt>
              </c:strCache>
            </c:strRef>
          </c:cat>
          <c:val>
            <c:numRef>
              <c:f>Graficos!$B$29:$B$33</c:f>
              <c:numCache>
                <c:formatCode>General</c:formatCode>
                <c:ptCount val="5"/>
                <c:pt idx="0">
                  <c:v>#N/A</c:v>
                </c:pt>
                <c:pt idx="1">
                  <c:v>#N/A</c:v>
                </c:pt>
                <c:pt idx="2">
                  <c:v>#N/A</c:v>
                </c:pt>
                <c:pt idx="3">
                  <c:v>#N/A</c:v>
                </c:pt>
                <c:pt idx="4">
                  <c:v>#N/A</c:v>
                </c:pt>
              </c:numCache>
            </c:numRef>
          </c:val>
          <c:extLst>
            <c:ext xmlns:c16="http://schemas.microsoft.com/office/drawing/2014/chart" uri="{C3380CC4-5D6E-409C-BE32-E72D297353CC}">
              <c16:uniqueId val="{00000000-D970-4577-B9A8-E54BE55267DB}"/>
            </c:ext>
          </c:extLst>
        </c:ser>
        <c:ser>
          <c:idx val="1"/>
          <c:order val="1"/>
          <c:tx>
            <c:strRef>
              <c:f>Graficos!$C$28</c:f>
              <c:strCache>
                <c:ptCount val="1"/>
                <c:pt idx="0">
                  <c:v>ATENDIDOS 2023</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 sourceLinked="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Graficos!$A$29:$A$33</c:f>
              <c:strCache>
                <c:ptCount val="5"/>
                <c:pt idx="0">
                  <c:v>I TRIMESTRE</c:v>
                </c:pt>
                <c:pt idx="1">
                  <c:v>II TRIMESTRE</c:v>
                </c:pt>
                <c:pt idx="2">
                  <c:v>III TRIMESTRE</c:v>
                </c:pt>
                <c:pt idx="3">
                  <c:v>IV TRIMESTRE</c:v>
                </c:pt>
                <c:pt idx="4">
                  <c:v>ANUAL</c:v>
                </c:pt>
              </c:strCache>
            </c:strRef>
          </c:cat>
          <c:val>
            <c:numRef>
              <c:f>Graficos!$C$29:$C$33</c:f>
              <c:numCache>
                <c:formatCode>General</c:formatCode>
                <c:ptCount val="5"/>
                <c:pt idx="0">
                  <c:v>#N/A</c:v>
                </c:pt>
                <c:pt idx="1">
                  <c:v>#N/A</c:v>
                </c:pt>
                <c:pt idx="2">
                  <c:v>#N/A</c:v>
                </c:pt>
                <c:pt idx="3">
                  <c:v>#N/A</c:v>
                </c:pt>
                <c:pt idx="4">
                  <c:v>#N/A</c:v>
                </c:pt>
              </c:numCache>
            </c:numRef>
          </c:val>
          <c:extLst>
            <c:ext xmlns:c16="http://schemas.microsoft.com/office/drawing/2014/chart" uri="{C3380CC4-5D6E-409C-BE32-E72D297353CC}">
              <c16:uniqueId val="{00000002-D970-4577-B9A8-E54BE55267DB}"/>
            </c:ext>
          </c:extLst>
        </c:ser>
        <c:dLbls>
          <c:dLblPos val="outEnd"/>
          <c:showLegendKey val="0"/>
          <c:showVal val="1"/>
          <c:showCatName val="0"/>
          <c:showSerName val="0"/>
          <c:showPercent val="0"/>
          <c:showBubbleSize val="0"/>
        </c:dLbls>
        <c:gapWidth val="100"/>
        <c:overlap val="-24"/>
        <c:axId val="208193392"/>
        <c:axId val="208194224"/>
      </c:barChart>
      <c:catAx>
        <c:axId val="2081933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8194224"/>
        <c:crosses val="autoZero"/>
        <c:auto val="1"/>
        <c:lblAlgn val="ctr"/>
        <c:lblOffset val="100"/>
        <c:noMultiLvlLbl val="0"/>
      </c:catAx>
      <c:valAx>
        <c:axId val="2081942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8193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PE"/>
              <a:t>ATENCIONES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strRef>
              <c:f>Graficos!$D$28</c:f>
              <c:strCache>
                <c:ptCount val="1"/>
                <c:pt idx="0">
                  <c:v>ATENCIONES 2022</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 sourceLinked="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Graficos!$A$29:$A$33</c:f>
              <c:strCache>
                <c:ptCount val="5"/>
                <c:pt idx="0">
                  <c:v>I TRIMESTRE</c:v>
                </c:pt>
                <c:pt idx="1">
                  <c:v>II TRIMESTRE</c:v>
                </c:pt>
                <c:pt idx="2">
                  <c:v>III TRIMESTRE</c:v>
                </c:pt>
                <c:pt idx="3">
                  <c:v>IV TRIMESTRE</c:v>
                </c:pt>
                <c:pt idx="4">
                  <c:v>ANUAL</c:v>
                </c:pt>
              </c:strCache>
            </c:strRef>
          </c:cat>
          <c:val>
            <c:numRef>
              <c:f>Graficos!$D$29:$D$33</c:f>
              <c:numCache>
                <c:formatCode>General</c:formatCode>
                <c:ptCount val="5"/>
                <c:pt idx="0">
                  <c:v>#N/A</c:v>
                </c:pt>
                <c:pt idx="1">
                  <c:v>#N/A</c:v>
                </c:pt>
                <c:pt idx="2">
                  <c:v>#N/A</c:v>
                </c:pt>
                <c:pt idx="3">
                  <c:v>#N/A</c:v>
                </c:pt>
                <c:pt idx="4">
                  <c:v>#N/A</c:v>
                </c:pt>
              </c:numCache>
            </c:numRef>
          </c:val>
          <c:extLst>
            <c:ext xmlns:c16="http://schemas.microsoft.com/office/drawing/2014/chart" uri="{C3380CC4-5D6E-409C-BE32-E72D297353CC}">
              <c16:uniqueId val="{00000000-6035-4559-BC46-03EE6602BE65}"/>
            </c:ext>
          </c:extLst>
        </c:ser>
        <c:ser>
          <c:idx val="1"/>
          <c:order val="1"/>
          <c:tx>
            <c:strRef>
              <c:f>Graficos!$E$28</c:f>
              <c:strCache>
                <c:ptCount val="1"/>
                <c:pt idx="0">
                  <c:v>ATENCIONES 2023</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 sourceLinked="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Graficos!$A$29:$A$33</c:f>
              <c:strCache>
                <c:ptCount val="5"/>
                <c:pt idx="0">
                  <c:v>I TRIMESTRE</c:v>
                </c:pt>
                <c:pt idx="1">
                  <c:v>II TRIMESTRE</c:v>
                </c:pt>
                <c:pt idx="2">
                  <c:v>III TRIMESTRE</c:v>
                </c:pt>
                <c:pt idx="3">
                  <c:v>IV TRIMESTRE</c:v>
                </c:pt>
                <c:pt idx="4">
                  <c:v>ANUAL</c:v>
                </c:pt>
              </c:strCache>
            </c:strRef>
          </c:cat>
          <c:val>
            <c:numRef>
              <c:f>Graficos!$E$29:$E$33</c:f>
              <c:numCache>
                <c:formatCode>General</c:formatCode>
                <c:ptCount val="5"/>
                <c:pt idx="0">
                  <c:v>#N/A</c:v>
                </c:pt>
                <c:pt idx="1">
                  <c:v>#N/A</c:v>
                </c:pt>
                <c:pt idx="2">
                  <c:v>#N/A</c:v>
                </c:pt>
                <c:pt idx="3">
                  <c:v>#N/A</c:v>
                </c:pt>
                <c:pt idx="4">
                  <c:v>#N/A</c:v>
                </c:pt>
              </c:numCache>
            </c:numRef>
          </c:val>
          <c:extLst>
            <c:ext xmlns:c16="http://schemas.microsoft.com/office/drawing/2014/chart" uri="{C3380CC4-5D6E-409C-BE32-E72D297353CC}">
              <c16:uniqueId val="{00000001-6035-4559-BC46-03EE6602BE65}"/>
            </c:ext>
          </c:extLst>
        </c:ser>
        <c:dLbls>
          <c:dLblPos val="outEnd"/>
          <c:showLegendKey val="0"/>
          <c:showVal val="1"/>
          <c:showCatName val="0"/>
          <c:showSerName val="0"/>
          <c:showPercent val="0"/>
          <c:showBubbleSize val="0"/>
        </c:dLbls>
        <c:gapWidth val="100"/>
        <c:overlap val="-24"/>
        <c:axId val="208193392"/>
        <c:axId val="208194224"/>
      </c:barChart>
      <c:catAx>
        <c:axId val="2081933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8194224"/>
        <c:crosses val="autoZero"/>
        <c:auto val="1"/>
        <c:lblAlgn val="ctr"/>
        <c:lblOffset val="100"/>
        <c:noMultiLvlLbl val="0"/>
      </c:catAx>
      <c:valAx>
        <c:axId val="2081942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8193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PE"/>
              <a:t>INTENSIDAD DE USO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strRef>
              <c:f>Graficos!$H$28</c:f>
              <c:strCache>
                <c:ptCount val="1"/>
                <c:pt idx="0">
                  <c:v>INTENSIDAD DE USO</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solidFill>
                <a:schemeClr val="lt1"/>
              </a:solidFill>
              <a:ln w="25400" cap="flat" cmpd="sng" algn="ctr">
                <a:solidFill>
                  <a:schemeClr val="accent1"/>
                </a:solidFill>
                <a:prstDash val="solid"/>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Graficos!$A$29:$A$33</c:f>
              <c:strCache>
                <c:ptCount val="5"/>
                <c:pt idx="0">
                  <c:v>I TRIMESTRE</c:v>
                </c:pt>
                <c:pt idx="1">
                  <c:v>II TRIMESTRE</c:v>
                </c:pt>
                <c:pt idx="2">
                  <c:v>III TRIMESTRE</c:v>
                </c:pt>
                <c:pt idx="3">
                  <c:v>IV TRIMESTRE</c:v>
                </c:pt>
                <c:pt idx="4">
                  <c:v>ANUAL</c:v>
                </c:pt>
              </c:strCache>
            </c:strRef>
          </c:cat>
          <c:val>
            <c:numRef>
              <c:f>Graficos!$H$29:$H$33</c:f>
              <c:numCache>
                <c:formatCode>0.0</c:formatCode>
                <c:ptCount val="5"/>
                <c:pt idx="0">
                  <c:v>#N/A</c:v>
                </c:pt>
                <c:pt idx="1">
                  <c:v>#N/A</c:v>
                </c:pt>
                <c:pt idx="2">
                  <c:v>#N/A</c:v>
                </c:pt>
                <c:pt idx="3">
                  <c:v>#N/A</c:v>
                </c:pt>
                <c:pt idx="4">
                  <c:v>#N/A</c:v>
                </c:pt>
              </c:numCache>
            </c:numRef>
          </c:val>
          <c:extLst>
            <c:ext xmlns:c16="http://schemas.microsoft.com/office/drawing/2014/chart" uri="{C3380CC4-5D6E-409C-BE32-E72D297353CC}">
              <c16:uniqueId val="{00000000-4A60-48CD-9D85-8AD8AECF22D8}"/>
            </c:ext>
          </c:extLst>
        </c:ser>
        <c:dLbls>
          <c:dLblPos val="outEnd"/>
          <c:showLegendKey val="0"/>
          <c:showVal val="1"/>
          <c:showCatName val="0"/>
          <c:showSerName val="0"/>
          <c:showPercent val="0"/>
          <c:showBubbleSize val="0"/>
        </c:dLbls>
        <c:gapWidth val="100"/>
        <c:overlap val="-24"/>
        <c:axId val="208193392"/>
        <c:axId val="208194224"/>
      </c:barChart>
      <c:catAx>
        <c:axId val="2081933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8194224"/>
        <c:crosses val="autoZero"/>
        <c:auto val="1"/>
        <c:lblAlgn val="ctr"/>
        <c:lblOffset val="100"/>
        <c:noMultiLvlLbl val="0"/>
      </c:catAx>
      <c:valAx>
        <c:axId val="20819422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8193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PE"/>
              <a:t>EXTENSION DE USO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ES"/>
        </a:p>
      </c:txPr>
    </c:title>
    <c:autoTitleDeleted val="0"/>
    <c:plotArea>
      <c:layout/>
      <c:lineChart>
        <c:grouping val="standard"/>
        <c:varyColors val="0"/>
        <c:ser>
          <c:idx val="0"/>
          <c:order val="0"/>
          <c:tx>
            <c:strRef>
              <c:f>Graficos!$F$28</c:f>
              <c:strCache>
                <c:ptCount val="1"/>
                <c:pt idx="0">
                  <c:v>EXTENSION DE USO</c:v>
                </c:pt>
              </c:strCache>
            </c:strRef>
          </c:tx>
          <c:spPr>
            <a:ln w="34925" cap="rnd">
              <a:solidFill>
                <a:schemeClr val="accent1"/>
              </a:solidFill>
              <a:round/>
            </a:ln>
            <a:effectLst>
              <a:outerShdw blurRad="40000" dist="23000" dir="5400000" rotWithShape="0">
                <a:srgbClr val="000000">
                  <a:alpha val="35000"/>
                </a:srgbClr>
              </a:outerShdw>
            </a:effectLst>
          </c:spPr>
          <c:marker>
            <c:symbol val="circle"/>
            <c:size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9525">
                <a:solidFill>
                  <a:schemeClr val="accent1"/>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solidFill>
                <a:schemeClr val="lt1"/>
              </a:solidFill>
              <a:ln w="25400" cap="flat" cmpd="sng" algn="ctr">
                <a:solidFill>
                  <a:schemeClr val="accent1"/>
                </a:solidFill>
                <a:prstDash val="solid"/>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Graficos!$A$29:$A$33</c:f>
              <c:strCache>
                <c:ptCount val="5"/>
                <c:pt idx="0">
                  <c:v>I TRIMESTRE</c:v>
                </c:pt>
                <c:pt idx="1">
                  <c:v>II TRIMESTRE</c:v>
                </c:pt>
                <c:pt idx="2">
                  <c:v>III TRIMESTRE</c:v>
                </c:pt>
                <c:pt idx="3">
                  <c:v>IV TRIMESTRE</c:v>
                </c:pt>
                <c:pt idx="4">
                  <c:v>ANUAL</c:v>
                </c:pt>
              </c:strCache>
            </c:strRef>
          </c:cat>
          <c:val>
            <c:numRef>
              <c:f>Graficos!$F$29:$F$33</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0-C2AC-4C88-9C6A-504975972FF5}"/>
            </c:ext>
          </c:extLst>
        </c:ser>
        <c:dLbls>
          <c:showLegendKey val="0"/>
          <c:showVal val="1"/>
          <c:showCatName val="0"/>
          <c:showSerName val="0"/>
          <c:showPercent val="0"/>
          <c:showBubbleSize val="0"/>
        </c:dLbls>
        <c:marker val="1"/>
        <c:smooth val="0"/>
        <c:axId val="208193392"/>
        <c:axId val="208194224"/>
      </c:lineChart>
      <c:catAx>
        <c:axId val="2081933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8194224"/>
        <c:crosses val="autoZero"/>
        <c:auto val="1"/>
        <c:lblAlgn val="ctr"/>
        <c:lblOffset val="100"/>
        <c:noMultiLvlLbl val="0"/>
      </c:catAx>
      <c:valAx>
        <c:axId val="20819422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8193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C00000"/>
            </a:solidFill>
            <a:ln>
              <a:noFill/>
            </a:ln>
            <a:effectLst/>
          </c:spPr>
          <c:invertIfNegative val="0"/>
          <c:dLbls>
            <c:spPr>
              <a:solidFill>
                <a:schemeClr val="lt1"/>
              </a:solidFill>
              <a:ln w="25400" cap="flat" cmpd="sng" algn="ctr">
                <a:solidFill>
                  <a:schemeClr val="accent1"/>
                </a:solidFill>
                <a:prstDash val="solid"/>
              </a:ln>
              <a:effectLst/>
            </c:spPr>
            <c:txPr>
              <a:bodyPr rot="0" spcFirstLastPara="1" vertOverflow="ellipsis" vert="horz" wrap="square" anchor="ctr" anchorCtr="1"/>
              <a:lstStyle/>
              <a:p>
                <a:pPr>
                  <a:defRPr sz="105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Rk_Dorado!$A$17:$A$20</c:f>
              <c:numCache>
                <c:formatCode>General</c:formatCode>
                <c:ptCount val="4"/>
                <c:pt idx="0">
                  <c:v>1</c:v>
                </c:pt>
                <c:pt idx="1">
                  <c:v>2</c:v>
                </c:pt>
                <c:pt idx="2">
                  <c:v>3</c:v>
                </c:pt>
                <c:pt idx="3">
                  <c:v>4</c:v>
                </c:pt>
              </c:numCache>
            </c:numRef>
          </c:cat>
          <c:val>
            <c:numRef>
              <c:f>Rk_Dorado!$D$17:$D$20</c:f>
              <c:numCache>
                <c:formatCode>General</c:formatCode>
                <c:ptCount val="4"/>
                <c:pt idx="0">
                  <c:v>4.0999999999999996</c:v>
                </c:pt>
                <c:pt idx="1">
                  <c:v>4.18</c:v>
                </c:pt>
                <c:pt idx="2">
                  <c:v>4.2699999999999996</c:v>
                </c:pt>
                <c:pt idx="3">
                  <c:v>4.45</c:v>
                </c:pt>
              </c:numCache>
            </c:numRef>
          </c:val>
          <c:extLst>
            <c:ext xmlns:c16="http://schemas.microsoft.com/office/drawing/2014/chart" uri="{C3380CC4-5D6E-409C-BE32-E72D297353CC}">
              <c16:uniqueId val="{00000000-773F-4C43-93F5-20C64D0E608D}"/>
            </c:ext>
          </c:extLst>
        </c:ser>
        <c:dLbls>
          <c:dLblPos val="outEnd"/>
          <c:showLegendKey val="0"/>
          <c:showVal val="1"/>
          <c:showCatName val="0"/>
          <c:showSerName val="0"/>
          <c:showPercent val="0"/>
          <c:showBubbleSize val="0"/>
        </c:dLbls>
        <c:gapWidth val="182"/>
        <c:axId val="1965415807"/>
        <c:axId val="1965408735"/>
      </c:barChart>
      <c:catAx>
        <c:axId val="196541580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ES"/>
          </a:p>
        </c:txPr>
        <c:crossAx val="1965408735"/>
        <c:crosses val="autoZero"/>
        <c:auto val="1"/>
        <c:lblAlgn val="ctr"/>
        <c:lblOffset val="100"/>
        <c:noMultiLvlLbl val="0"/>
      </c:catAx>
      <c:valAx>
        <c:axId val="196540873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ES"/>
          </a:p>
        </c:txPr>
        <c:crossAx val="19654158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50" b="1"/>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Performance!A1"/><Relationship Id="rId2" Type="http://schemas.openxmlformats.org/officeDocument/2006/relationships/hyperlink" Target="#'Tablero de mando'!A1"/><Relationship Id="rId1" Type="http://schemas.openxmlformats.org/officeDocument/2006/relationships/hyperlink" Target="#Indicadores!A1"/><Relationship Id="rId6" Type="http://schemas.openxmlformats.org/officeDocument/2006/relationships/image" Target="../media/image2.jpg"/><Relationship Id="rId5" Type="http://schemas.openxmlformats.org/officeDocument/2006/relationships/image" Target="../media/image1.jpg"/><Relationship Id="rId4" Type="http://schemas.openxmlformats.org/officeDocument/2006/relationships/hyperlink" Target="#Graficos!A1"/></Relationships>
</file>

<file path=xl/drawings/_rels/drawing2.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1.jpg"/><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4</xdr:col>
      <xdr:colOff>178734</xdr:colOff>
      <xdr:row>16</xdr:row>
      <xdr:rowOff>70597</xdr:rowOff>
    </xdr:from>
    <xdr:to>
      <xdr:col>6</xdr:col>
      <xdr:colOff>57710</xdr:colOff>
      <xdr:row>21</xdr:row>
      <xdr:rowOff>19610</xdr:rowOff>
    </xdr:to>
    <xdr:sp macro="" textlink="">
      <xdr:nvSpPr>
        <xdr:cNvPr id="3" name="2 Rectángulo redondeado">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1712259" y="4718797"/>
          <a:ext cx="1402976" cy="758638"/>
        </a:xfrm>
        <a:prstGeom prst="roundRect">
          <a:avLst/>
        </a:prstGeom>
        <a:solidFill>
          <a:srgbClr val="C00000"/>
        </a:solidFill>
        <a:ln w="47625" cap="rnd" cmpd="thickThin">
          <a:solidFill>
            <a:schemeClr val="tx2">
              <a:lumMod val="40000"/>
              <a:lumOff val="60000"/>
            </a:schemeClr>
          </a:solidFill>
        </a:ln>
        <a:effectLst>
          <a:outerShdw blurRad="50800" dist="38100" dir="2700000" algn="tl" rotWithShape="0">
            <a:schemeClr val="accent5">
              <a:lumMod val="60000"/>
              <a:lumOff val="40000"/>
              <a:alpha val="40000"/>
            </a:schemeClr>
          </a:outerShdw>
        </a:effectLst>
        <a:scene3d>
          <a:camera prst="orthographicFront">
            <a:rot lat="0" lon="0" rev="0"/>
          </a:camera>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solidFill>
                <a:schemeClr val="bg1"/>
              </a:solidFill>
            </a:rPr>
            <a:t>Indicadores</a:t>
          </a:r>
        </a:p>
      </xdr:txBody>
    </xdr:sp>
    <xdr:clientData/>
  </xdr:twoCellAnchor>
  <xdr:twoCellAnchor>
    <xdr:from>
      <xdr:col>7</xdr:col>
      <xdr:colOff>112059</xdr:colOff>
      <xdr:row>16</xdr:row>
      <xdr:rowOff>70597</xdr:rowOff>
    </xdr:from>
    <xdr:to>
      <xdr:col>8</xdr:col>
      <xdr:colOff>753035</xdr:colOff>
      <xdr:row>21</xdr:row>
      <xdr:rowOff>19610</xdr:rowOff>
    </xdr:to>
    <xdr:sp macro="" textlink="">
      <xdr:nvSpPr>
        <xdr:cNvPr id="5" name="4 Rectángulo redondeado">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a:off x="3931584" y="4718797"/>
          <a:ext cx="1402976" cy="758638"/>
        </a:xfrm>
        <a:prstGeom prst="roundRect">
          <a:avLst/>
        </a:prstGeom>
        <a:solidFill>
          <a:srgbClr val="C00000"/>
        </a:solidFill>
        <a:ln w="47625" cap="rnd" cmpd="thickThin">
          <a:solidFill>
            <a:schemeClr val="tx2">
              <a:lumMod val="40000"/>
              <a:lumOff val="60000"/>
            </a:schemeClr>
          </a:solidFill>
        </a:ln>
        <a:effectLst>
          <a:outerShdw blurRad="50800" dist="38100" dir="2700000" algn="tl" rotWithShape="0">
            <a:schemeClr val="accent5">
              <a:lumMod val="60000"/>
              <a:lumOff val="40000"/>
              <a:alpha val="40000"/>
            </a:schemeClr>
          </a:outerShdw>
        </a:effectLst>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solidFill>
                <a:schemeClr val="bg1"/>
              </a:solidFill>
            </a:rPr>
            <a:t>Tablero de mando</a:t>
          </a:r>
        </a:p>
      </xdr:txBody>
    </xdr:sp>
    <xdr:clientData/>
  </xdr:twoCellAnchor>
  <xdr:twoCellAnchor>
    <xdr:from>
      <xdr:col>10</xdr:col>
      <xdr:colOff>121584</xdr:colOff>
      <xdr:row>16</xdr:row>
      <xdr:rowOff>51547</xdr:rowOff>
    </xdr:from>
    <xdr:to>
      <xdr:col>11</xdr:col>
      <xdr:colOff>600635</xdr:colOff>
      <xdr:row>21</xdr:row>
      <xdr:rowOff>560</xdr:rowOff>
    </xdr:to>
    <xdr:sp macro="" textlink="">
      <xdr:nvSpPr>
        <xdr:cNvPr id="6" name="5 Rectángulo redondeado">
          <a:hlinkClick xmlns:r="http://schemas.openxmlformats.org/officeDocument/2006/relationships" r:id="rId3"/>
          <a:extLst>
            <a:ext uri="{FF2B5EF4-FFF2-40B4-BE49-F238E27FC236}">
              <a16:creationId xmlns:a16="http://schemas.microsoft.com/office/drawing/2014/main" id="{00000000-0008-0000-0000-000006000000}"/>
            </a:ext>
          </a:extLst>
        </xdr:cNvPr>
        <xdr:cNvSpPr/>
      </xdr:nvSpPr>
      <xdr:spPr>
        <a:xfrm>
          <a:off x="6227109" y="4699747"/>
          <a:ext cx="1402976" cy="758638"/>
        </a:xfrm>
        <a:prstGeom prst="roundRect">
          <a:avLst/>
        </a:prstGeom>
        <a:solidFill>
          <a:srgbClr val="C00000"/>
        </a:solidFill>
        <a:ln w="47625" cap="rnd" cmpd="thickThin">
          <a:solidFill>
            <a:schemeClr val="tx2">
              <a:lumMod val="40000"/>
              <a:lumOff val="60000"/>
            </a:schemeClr>
          </a:solidFill>
        </a:ln>
        <a:effectLst>
          <a:outerShdw blurRad="50800" dist="38100" dir="2700000" algn="tl" rotWithShape="0">
            <a:schemeClr val="accent5">
              <a:lumMod val="60000"/>
              <a:lumOff val="40000"/>
              <a:alpha val="40000"/>
            </a:schemeClr>
          </a:outerShdw>
        </a:effectLst>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solidFill>
                <a:schemeClr val="bg1"/>
              </a:solidFill>
            </a:rPr>
            <a:t>Performance</a:t>
          </a:r>
        </a:p>
      </xdr:txBody>
    </xdr:sp>
    <xdr:clientData/>
  </xdr:twoCellAnchor>
  <xdr:twoCellAnchor>
    <xdr:from>
      <xdr:col>12</xdr:col>
      <xdr:colOff>626409</xdr:colOff>
      <xdr:row>16</xdr:row>
      <xdr:rowOff>51547</xdr:rowOff>
    </xdr:from>
    <xdr:to>
      <xdr:col>12</xdr:col>
      <xdr:colOff>2029385</xdr:colOff>
      <xdr:row>21</xdr:row>
      <xdr:rowOff>560</xdr:rowOff>
    </xdr:to>
    <xdr:sp macro="" textlink="">
      <xdr:nvSpPr>
        <xdr:cNvPr id="7" name="6 Rectángulo redondeado">
          <a:hlinkClick xmlns:r="http://schemas.openxmlformats.org/officeDocument/2006/relationships" r:id="rId4"/>
          <a:extLst>
            <a:ext uri="{FF2B5EF4-FFF2-40B4-BE49-F238E27FC236}">
              <a16:creationId xmlns:a16="http://schemas.microsoft.com/office/drawing/2014/main" id="{00000000-0008-0000-0000-000007000000}"/>
            </a:ext>
          </a:extLst>
        </xdr:cNvPr>
        <xdr:cNvSpPr/>
      </xdr:nvSpPr>
      <xdr:spPr>
        <a:xfrm>
          <a:off x="8417859" y="4699747"/>
          <a:ext cx="1402976" cy="758638"/>
        </a:xfrm>
        <a:prstGeom prst="roundRect">
          <a:avLst/>
        </a:prstGeom>
        <a:solidFill>
          <a:srgbClr val="C00000"/>
        </a:solidFill>
        <a:ln w="47625" cap="rnd" cmpd="thickThin">
          <a:solidFill>
            <a:schemeClr val="tx2">
              <a:lumMod val="40000"/>
              <a:lumOff val="60000"/>
            </a:schemeClr>
          </a:solidFill>
        </a:ln>
        <a:effectLst>
          <a:outerShdw blurRad="50800" dist="38100" dir="2700000" algn="tl" rotWithShape="0">
            <a:schemeClr val="accent5">
              <a:lumMod val="60000"/>
              <a:lumOff val="40000"/>
              <a:alpha val="40000"/>
            </a:schemeClr>
          </a:outerShdw>
        </a:effectLst>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u="none">
              <a:solidFill>
                <a:schemeClr val="bg1"/>
              </a:solidFill>
            </a:rPr>
            <a:t>Gráficos</a:t>
          </a:r>
        </a:p>
      </xdr:txBody>
    </xdr:sp>
    <xdr:clientData/>
  </xdr:twoCellAnchor>
  <xdr:twoCellAnchor editAs="oneCell">
    <xdr:from>
      <xdr:col>0</xdr:col>
      <xdr:colOff>281608</xdr:colOff>
      <xdr:row>0</xdr:row>
      <xdr:rowOff>24848</xdr:rowOff>
    </xdr:from>
    <xdr:to>
      <xdr:col>1</xdr:col>
      <xdr:colOff>836543</xdr:colOff>
      <xdr:row>2</xdr:row>
      <xdr:rowOff>312317</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81608" y="24848"/>
          <a:ext cx="844826" cy="916947"/>
        </a:xfrm>
        <a:prstGeom prst="rect">
          <a:avLst/>
        </a:prstGeom>
      </xdr:spPr>
    </xdr:pic>
    <xdr:clientData/>
  </xdr:twoCellAnchor>
  <xdr:twoCellAnchor editAs="oneCell">
    <xdr:from>
      <xdr:col>14</xdr:col>
      <xdr:colOff>8282</xdr:colOff>
      <xdr:row>0</xdr:row>
      <xdr:rowOff>24848</xdr:rowOff>
    </xdr:from>
    <xdr:to>
      <xdr:col>14</xdr:col>
      <xdr:colOff>853109</xdr:colOff>
      <xdr:row>2</xdr:row>
      <xdr:rowOff>339588</xdr:rowOff>
    </xdr:to>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1159859" y="24848"/>
          <a:ext cx="844827" cy="9448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6</xdr:row>
      <xdr:rowOff>161925</xdr:rowOff>
    </xdr:from>
    <xdr:to>
      <xdr:col>5</xdr:col>
      <xdr:colOff>9525</xdr:colOff>
      <xdr:row>7</xdr:row>
      <xdr:rowOff>9525</xdr:rowOff>
    </xdr:to>
    <xdr:pic>
      <xdr:nvPicPr>
        <xdr:cNvPr id="8937792" name="3 Imagen" descr="Recorte de pantalla">
          <a:extLst>
            <a:ext uri="{FF2B5EF4-FFF2-40B4-BE49-F238E27FC236}">
              <a16:creationId xmlns:a16="http://schemas.microsoft.com/office/drawing/2014/main" id="{00000000-0008-0000-0100-0000406188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15750" y="1390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xdr:rowOff>
    </xdr:from>
    <xdr:to>
      <xdr:col>3</xdr:col>
      <xdr:colOff>1000125</xdr:colOff>
      <xdr:row>12</xdr:row>
      <xdr:rowOff>123826</xdr:rowOff>
    </xdr:to>
    <xdr:pic>
      <xdr:nvPicPr>
        <xdr:cNvPr id="8937793" name="4 Imagen" descr="Recorte de pantalla">
          <a:extLst>
            <a:ext uri="{FF2B5EF4-FFF2-40B4-BE49-F238E27FC236}">
              <a16:creationId xmlns:a16="http://schemas.microsoft.com/office/drawing/2014/main" id="{00000000-0008-0000-0100-0000416188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26740"/>
        <a:stretch/>
      </xdr:blipFill>
      <xdr:spPr bwMode="auto">
        <a:xfrm>
          <a:off x="0" y="419101"/>
          <a:ext cx="78486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1314450</xdr:colOff>
      <xdr:row>1</xdr:row>
      <xdr:rowOff>95250</xdr:rowOff>
    </xdr:from>
    <xdr:to>
      <xdr:col>5</xdr:col>
      <xdr:colOff>142875</xdr:colOff>
      <xdr:row>15</xdr:row>
      <xdr:rowOff>114300</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162925" y="514350"/>
          <a:ext cx="3695700" cy="2286000"/>
        </a:xfrm>
        <a:prstGeom prst="rect">
          <a:avLst/>
        </a:prstGeom>
      </xdr:spPr>
    </xdr:pic>
    <xdr:clientData/>
  </xdr:twoCellAnchor>
  <xdr:oneCellAnchor>
    <xdr:from>
      <xdr:col>2</xdr:col>
      <xdr:colOff>2203401</xdr:colOff>
      <xdr:row>12</xdr:row>
      <xdr:rowOff>140785</xdr:rowOff>
    </xdr:from>
    <xdr:ext cx="1632049" cy="311496"/>
    <xdr:sp macro="" textlink="">
      <xdr:nvSpPr>
        <xdr:cNvPr id="4" name="Rectángulo 3">
          <a:extLst>
            <a:ext uri="{FF2B5EF4-FFF2-40B4-BE49-F238E27FC236}">
              <a16:creationId xmlns:a16="http://schemas.microsoft.com/office/drawing/2014/main" id="{00000000-0008-0000-0100-000004000000}"/>
            </a:ext>
          </a:extLst>
        </xdr:cNvPr>
        <xdr:cNvSpPr/>
      </xdr:nvSpPr>
      <xdr:spPr>
        <a:xfrm>
          <a:off x="5727651" y="2341060"/>
          <a:ext cx="1632049" cy="311496"/>
        </a:xfrm>
        <a:prstGeom prst="rect">
          <a:avLst/>
        </a:prstGeom>
        <a:noFill/>
      </xdr:spPr>
      <xdr:txBody>
        <a:bodyPr wrap="none" lIns="91440" tIns="45720" rIns="91440" bIns="45720">
          <a:spAutoFit/>
        </a:bodyPr>
        <a:lstStyle/>
        <a:p>
          <a:pPr algn="ctr"/>
          <a:r>
            <a:rPr lang="es-ES" sz="1400" b="0" cap="none" spc="0">
              <a:ln w="0"/>
              <a:solidFill>
                <a:srgbClr val="C00000"/>
              </a:solidFill>
              <a:effectLst>
                <a:outerShdw blurRad="38100" dist="25400" dir="5400000" algn="ctr" rotWithShape="0">
                  <a:srgbClr val="6E747A">
                    <a:alpha val="43000"/>
                  </a:srgbClr>
                </a:outerShdw>
              </a:effectLst>
            </a:rPr>
            <a:t>Resultado Esperado</a:t>
          </a:r>
        </a:p>
      </xdr:txBody>
    </xdr:sp>
    <xdr:clientData/>
  </xdr:oneCellAnchor>
  <xdr:oneCellAnchor>
    <xdr:from>
      <xdr:col>0</xdr:col>
      <xdr:colOff>2329745</xdr:colOff>
      <xdr:row>12</xdr:row>
      <xdr:rowOff>66675</xdr:rowOff>
    </xdr:from>
    <xdr:ext cx="2344680" cy="749821"/>
    <xdr:sp macro="" textlink="">
      <xdr:nvSpPr>
        <xdr:cNvPr id="8" name="Rectángulo 7">
          <a:extLst>
            <a:ext uri="{FF2B5EF4-FFF2-40B4-BE49-F238E27FC236}">
              <a16:creationId xmlns:a16="http://schemas.microsoft.com/office/drawing/2014/main" id="{00000000-0008-0000-0100-000008000000}"/>
            </a:ext>
          </a:extLst>
        </xdr:cNvPr>
        <xdr:cNvSpPr/>
      </xdr:nvSpPr>
      <xdr:spPr>
        <a:xfrm>
          <a:off x="2329745" y="2266950"/>
          <a:ext cx="2344680" cy="749821"/>
        </a:xfrm>
        <a:prstGeom prst="rect">
          <a:avLst/>
        </a:prstGeom>
        <a:noFill/>
      </xdr:spPr>
      <xdr:txBody>
        <a:bodyPr wrap="none" lIns="91440" tIns="45720" rIns="91440" bIns="45720">
          <a:spAutoFit/>
        </a:bodyPr>
        <a:lstStyle/>
        <a:p>
          <a:pPr algn="ctr"/>
          <a:r>
            <a:rPr lang="es-ES" sz="1400" b="0" cap="none" spc="0">
              <a:ln w="0"/>
              <a:solidFill>
                <a:srgbClr val="00B050"/>
              </a:solidFill>
              <a:effectLst>
                <a:outerShdw blurRad="38100" dist="25400" dir="5400000" algn="ctr" rotWithShape="0">
                  <a:srgbClr val="6E747A">
                    <a:alpha val="43000"/>
                  </a:srgbClr>
                </a:outerShdw>
              </a:effectLst>
            </a:rPr>
            <a:t>Datos para Optimizar</a:t>
          </a:r>
          <a:r>
            <a:rPr lang="es-ES" sz="1400" b="0" cap="none" spc="0" baseline="0">
              <a:ln w="0"/>
              <a:solidFill>
                <a:srgbClr val="00B050"/>
              </a:solidFill>
              <a:effectLst>
                <a:outerShdw blurRad="38100" dist="25400" dir="5400000" algn="ctr" rotWithShape="0">
                  <a:srgbClr val="6E747A">
                    <a:alpha val="43000"/>
                  </a:srgbClr>
                </a:outerShdw>
              </a:effectLst>
            </a:rPr>
            <a:t> </a:t>
          </a:r>
        </a:p>
        <a:p>
          <a:pPr algn="ctr"/>
          <a:r>
            <a:rPr lang="es-ES" sz="1400" b="0" cap="none" spc="0" baseline="0">
              <a:ln w="0"/>
              <a:solidFill>
                <a:srgbClr val="00B050"/>
              </a:solidFill>
              <a:effectLst>
                <a:outerShdw blurRad="38100" dist="25400" dir="5400000" algn="ctr" rotWithShape="0">
                  <a:srgbClr val="6E747A">
                    <a:alpha val="43000"/>
                  </a:srgbClr>
                </a:outerShdw>
              </a:effectLst>
            </a:rPr>
            <a:t>la prestacion de los servicios, </a:t>
          </a:r>
        </a:p>
        <a:p>
          <a:pPr algn="ctr"/>
          <a:r>
            <a:rPr lang="es-ES" sz="1400" b="0" cap="none" spc="0" baseline="0">
              <a:ln w="0"/>
              <a:solidFill>
                <a:srgbClr val="00B050"/>
              </a:solidFill>
              <a:effectLst>
                <a:outerShdw blurRad="38100" dist="25400" dir="5400000" algn="ctr" rotWithShape="0">
                  <a:srgbClr val="6E747A">
                    <a:alpha val="43000"/>
                  </a:srgbClr>
                </a:outerShdw>
              </a:effectLst>
            </a:rPr>
            <a:t>prevencion y promocion</a:t>
          </a:r>
          <a:endParaRPr lang="es-ES" sz="1400" b="0" cap="none" spc="0">
            <a:ln w="0"/>
            <a:solidFill>
              <a:srgbClr val="00B050"/>
            </a:solidFill>
            <a:effectLst>
              <a:outerShdw blurRad="38100" dist="25400" dir="5400000" algn="ctr" rotWithShape="0">
                <a:srgbClr val="6E747A">
                  <a:alpha val="43000"/>
                </a:srgbClr>
              </a:outerShdw>
            </a:effectLst>
          </a:endParaRPr>
        </a:p>
      </xdr:txBody>
    </xdr:sp>
    <xdr:clientData/>
  </xdr:oneCellAnchor>
  <xdr:oneCellAnchor>
    <xdr:from>
      <xdr:col>0</xdr:col>
      <xdr:colOff>0</xdr:colOff>
      <xdr:row>11</xdr:row>
      <xdr:rowOff>142875</xdr:rowOff>
    </xdr:from>
    <xdr:ext cx="1653653" cy="1031693"/>
    <xdr:sp macro="" textlink="">
      <xdr:nvSpPr>
        <xdr:cNvPr id="9" name="Rectángulo 8">
          <a:extLst>
            <a:ext uri="{FF2B5EF4-FFF2-40B4-BE49-F238E27FC236}">
              <a16:creationId xmlns:a16="http://schemas.microsoft.com/office/drawing/2014/main" id="{00000000-0008-0000-0100-000009000000}"/>
            </a:ext>
          </a:extLst>
        </xdr:cNvPr>
        <xdr:cNvSpPr/>
      </xdr:nvSpPr>
      <xdr:spPr>
        <a:xfrm>
          <a:off x="0" y="2181225"/>
          <a:ext cx="1653653" cy="1031693"/>
        </a:xfrm>
        <a:prstGeom prst="rect">
          <a:avLst/>
        </a:prstGeom>
        <a:noFill/>
      </xdr:spPr>
      <xdr:txBody>
        <a:bodyPr wrap="square" lIns="91440" tIns="45720" rIns="91440" bIns="45720">
          <a:spAutoFit/>
        </a:bodyPr>
        <a:lstStyle/>
        <a:p>
          <a:pPr algn="ctr"/>
          <a:r>
            <a:rPr lang="es-ES" sz="1200" b="0" cap="none" spc="0">
              <a:ln w="0"/>
              <a:solidFill>
                <a:srgbClr val="0070C0"/>
              </a:solidFill>
              <a:effectLst>
                <a:outerShdw blurRad="38100" dist="25400" dir="5400000" algn="ctr" rotWithShape="0">
                  <a:srgbClr val="6E747A">
                    <a:alpha val="43000"/>
                  </a:srgbClr>
                </a:outerShdw>
              </a:effectLst>
            </a:rPr>
            <a:t>Datos para la Planificacion </a:t>
          </a:r>
        </a:p>
        <a:p>
          <a:pPr algn="ctr"/>
          <a:r>
            <a:rPr lang="es-ES" sz="1200" b="0" cap="none" spc="0">
              <a:ln w="0"/>
              <a:solidFill>
                <a:srgbClr val="0070C0"/>
              </a:solidFill>
              <a:effectLst>
                <a:outerShdw blurRad="38100" dist="25400" dir="5400000" algn="ctr" rotWithShape="0">
                  <a:srgbClr val="6E747A">
                    <a:alpha val="43000"/>
                  </a:srgbClr>
                </a:outerShdw>
              </a:effectLst>
            </a:rPr>
            <a:t>y Seguimiento de Programacion</a:t>
          </a:r>
        </a:p>
        <a:p>
          <a:pPr algn="ctr"/>
          <a:r>
            <a:rPr lang="es-ES" sz="1200" b="0" cap="none" spc="0" baseline="0">
              <a:ln w="0"/>
              <a:solidFill>
                <a:srgbClr val="0070C0"/>
              </a:solidFill>
              <a:effectLst>
                <a:outerShdw blurRad="38100" dist="25400" dir="5400000" algn="ctr" rotWithShape="0">
                  <a:srgbClr val="6E747A">
                    <a:alpha val="43000"/>
                  </a:srgbClr>
                </a:outerShdw>
              </a:effectLst>
            </a:rPr>
            <a:t> de Actividades</a:t>
          </a:r>
          <a:endParaRPr lang="es-ES" sz="1200" b="0" cap="none" spc="0">
            <a:ln w="0"/>
            <a:solidFill>
              <a:srgbClr val="0070C0"/>
            </a:solidFill>
            <a:effectLst>
              <a:outerShdw blurRad="38100" dist="25400" dir="5400000" algn="ctr" rotWithShape="0">
                <a:srgbClr val="6E747A">
                  <a:alpha val="43000"/>
                </a:srgbClr>
              </a:outerShdw>
            </a:effectLst>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28575</xdr:colOff>
      <xdr:row>2</xdr:row>
      <xdr:rowOff>152400</xdr:rowOff>
    </xdr:from>
    <xdr:to>
      <xdr:col>3</xdr:col>
      <xdr:colOff>190500</xdr:colOff>
      <xdr:row>23</xdr:row>
      <xdr:rowOff>9525</xdr:rowOff>
    </xdr:to>
    <xdr:graphicFrame macro="">
      <xdr:nvGraphicFramePr>
        <xdr:cNvPr id="9925632" name="Chart 3">
          <a:extLst>
            <a:ext uri="{FF2B5EF4-FFF2-40B4-BE49-F238E27FC236}">
              <a16:creationId xmlns:a16="http://schemas.microsoft.com/office/drawing/2014/main" id="{00000000-0008-0000-0900-000000749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1162050</xdr:colOff>
      <xdr:row>100</xdr:row>
      <xdr:rowOff>28575</xdr:rowOff>
    </xdr:from>
    <xdr:ext cx="452517" cy="184951"/>
    <xdr:sp macro="" textlink="">
      <xdr:nvSpPr>
        <xdr:cNvPr id="6" name="Text Box 5">
          <a:extLst>
            <a:ext uri="{FF2B5EF4-FFF2-40B4-BE49-F238E27FC236}">
              <a16:creationId xmlns:a16="http://schemas.microsoft.com/office/drawing/2014/main" id="{00000000-0008-0000-0900-000006000000}"/>
            </a:ext>
          </a:extLst>
        </xdr:cNvPr>
        <xdr:cNvSpPr txBox="1">
          <a:spLocks noChangeArrowheads="1"/>
        </xdr:cNvSpPr>
      </xdr:nvSpPr>
      <xdr:spPr bwMode="auto">
        <a:xfrm>
          <a:off x="2432050" y="22094825"/>
          <a:ext cx="339388" cy="155748"/>
        </a:xfrm>
        <a:prstGeom prst="rect">
          <a:avLst/>
        </a:prstGeom>
        <a:noFill/>
        <a:ln w="9525">
          <a:noFill/>
          <a:miter lim="800000"/>
          <a:headEnd/>
          <a:tailEnd/>
        </a:ln>
      </xdr:spPr>
      <xdr:txBody>
        <a:bodyPr wrap="none" lIns="18288" tIns="22860" rIns="0" bIns="0" anchor="t" upright="1">
          <a:spAutoFit/>
        </a:bodyPr>
        <a:lstStyle/>
        <a:p>
          <a:pPr algn="l" rtl="0">
            <a:defRPr sz="1000"/>
          </a:pPr>
          <a:r>
            <a:rPr lang="es-PE" sz="900" b="1" i="1" strike="noStrike">
              <a:solidFill>
                <a:srgbClr val="000000"/>
              </a:solidFill>
              <a:latin typeface="Arial"/>
              <a:cs typeface="Arial"/>
            </a:rPr>
            <a:t>20012</a:t>
          </a:r>
        </a:p>
      </xdr:txBody>
    </xdr:sp>
    <xdr:clientData/>
  </xdr:oneCellAnchor>
  <xdr:twoCellAnchor>
    <xdr:from>
      <xdr:col>2</xdr:col>
      <xdr:colOff>533400</xdr:colOff>
      <xdr:row>2</xdr:row>
      <xdr:rowOff>142875</xdr:rowOff>
    </xdr:from>
    <xdr:to>
      <xdr:col>7</xdr:col>
      <xdr:colOff>209550</xdr:colOff>
      <xdr:row>23</xdr:row>
      <xdr:rowOff>0</xdr:rowOff>
    </xdr:to>
    <xdr:graphicFrame macro="">
      <xdr:nvGraphicFramePr>
        <xdr:cNvPr id="9925634" name="Chart 3">
          <a:extLst>
            <a:ext uri="{FF2B5EF4-FFF2-40B4-BE49-F238E27FC236}">
              <a16:creationId xmlns:a16="http://schemas.microsoft.com/office/drawing/2014/main" id="{00000000-0008-0000-0900-000002749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571500</xdr:colOff>
      <xdr:row>2</xdr:row>
      <xdr:rowOff>152400</xdr:rowOff>
    </xdr:from>
    <xdr:to>
      <xdr:col>11</xdr:col>
      <xdr:colOff>247650</xdr:colOff>
      <xdr:row>23</xdr:row>
      <xdr:rowOff>9525</xdr:rowOff>
    </xdr:to>
    <xdr:graphicFrame macro="">
      <xdr:nvGraphicFramePr>
        <xdr:cNvPr id="9925635" name="Chart 3">
          <a:extLst>
            <a:ext uri="{FF2B5EF4-FFF2-40B4-BE49-F238E27FC236}">
              <a16:creationId xmlns:a16="http://schemas.microsoft.com/office/drawing/2014/main" id="{00000000-0008-0000-0900-000003749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238125</xdr:colOff>
      <xdr:row>2</xdr:row>
      <xdr:rowOff>142875</xdr:rowOff>
    </xdr:from>
    <xdr:to>
      <xdr:col>15</xdr:col>
      <xdr:colOff>676275</xdr:colOff>
      <xdr:row>23</xdr:row>
      <xdr:rowOff>0</xdr:rowOff>
    </xdr:to>
    <xdr:graphicFrame macro="">
      <xdr:nvGraphicFramePr>
        <xdr:cNvPr id="9925636" name="Chart 3">
          <a:extLst>
            <a:ext uri="{FF2B5EF4-FFF2-40B4-BE49-F238E27FC236}">
              <a16:creationId xmlns:a16="http://schemas.microsoft.com/office/drawing/2014/main" id="{00000000-0008-0000-0900-000004749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752475</xdr:colOff>
      <xdr:row>2</xdr:row>
      <xdr:rowOff>161925</xdr:rowOff>
    </xdr:from>
    <xdr:to>
      <xdr:col>20</xdr:col>
      <xdr:colOff>428625</xdr:colOff>
      <xdr:row>23</xdr:row>
      <xdr:rowOff>19050</xdr:rowOff>
    </xdr:to>
    <xdr:graphicFrame macro="">
      <xdr:nvGraphicFramePr>
        <xdr:cNvPr id="9925637" name="Chart 3">
          <a:extLst>
            <a:ext uri="{FF2B5EF4-FFF2-40B4-BE49-F238E27FC236}">
              <a16:creationId xmlns:a16="http://schemas.microsoft.com/office/drawing/2014/main" id="{00000000-0008-0000-0900-000005749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387061</xdr:colOff>
      <xdr:row>26</xdr:row>
      <xdr:rowOff>39832</xdr:rowOff>
    </xdr:from>
    <xdr:to>
      <xdr:col>8</xdr:col>
      <xdr:colOff>368012</xdr:colOff>
      <xdr:row>42</xdr:row>
      <xdr:rowOff>125557</xdr:rowOff>
    </xdr:to>
    <xdr:graphicFrame macro="">
      <xdr:nvGraphicFramePr>
        <xdr:cNvPr id="2" name="Gráfico 1">
          <a:extLst>
            <a:ext uri="{FF2B5EF4-FFF2-40B4-BE49-F238E27FC236}">
              <a16:creationId xmlns:a16="http://schemas.microsoft.com/office/drawing/2014/main" id="{7953785A-FC6F-4846-B990-5A63947541B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348962</xdr:colOff>
      <xdr:row>26</xdr:row>
      <xdr:rowOff>49356</xdr:rowOff>
    </xdr:from>
    <xdr:to>
      <xdr:col>18</xdr:col>
      <xdr:colOff>596612</xdr:colOff>
      <xdr:row>42</xdr:row>
      <xdr:rowOff>144606</xdr:rowOff>
    </xdr:to>
    <xdr:graphicFrame macro="">
      <xdr:nvGraphicFramePr>
        <xdr:cNvPr id="13" name="Gráfico 12">
          <a:extLst>
            <a:ext uri="{FF2B5EF4-FFF2-40B4-BE49-F238E27FC236}">
              <a16:creationId xmlns:a16="http://schemas.microsoft.com/office/drawing/2014/main" id="{C335EA18-F2E2-437A-A569-A70E924514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358487</xdr:colOff>
      <xdr:row>45</xdr:row>
      <xdr:rowOff>58883</xdr:rowOff>
    </xdr:from>
    <xdr:to>
      <xdr:col>18</xdr:col>
      <xdr:colOff>606137</xdr:colOff>
      <xdr:row>64</xdr:row>
      <xdr:rowOff>58882</xdr:rowOff>
    </xdr:to>
    <xdr:graphicFrame macro="">
      <xdr:nvGraphicFramePr>
        <xdr:cNvPr id="14" name="Gráfico 13">
          <a:extLst>
            <a:ext uri="{FF2B5EF4-FFF2-40B4-BE49-F238E27FC236}">
              <a16:creationId xmlns:a16="http://schemas.microsoft.com/office/drawing/2014/main" id="{7EEE7341-10BC-41BF-8E81-F81C94D8C6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415637</xdr:colOff>
      <xdr:row>45</xdr:row>
      <xdr:rowOff>68407</xdr:rowOff>
    </xdr:from>
    <xdr:to>
      <xdr:col>8</xdr:col>
      <xdr:colOff>387062</xdr:colOff>
      <xdr:row>64</xdr:row>
      <xdr:rowOff>68406</xdr:rowOff>
    </xdr:to>
    <xdr:graphicFrame macro="">
      <xdr:nvGraphicFramePr>
        <xdr:cNvPr id="15" name="Gráfico 14">
          <a:extLst>
            <a:ext uri="{FF2B5EF4-FFF2-40B4-BE49-F238E27FC236}">
              <a16:creationId xmlns:a16="http://schemas.microsoft.com/office/drawing/2014/main" id="{7A2D41E5-892E-4364-BEAD-989E7D4FB6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1</xdr:col>
      <xdr:colOff>626999</xdr:colOff>
      <xdr:row>0</xdr:row>
      <xdr:rowOff>38100</xdr:rowOff>
    </xdr:from>
    <xdr:ext cx="9298051" cy="1469890"/>
    <xdr:sp macro="" textlink="">
      <xdr:nvSpPr>
        <xdr:cNvPr id="2" name="Rectángulo 1">
          <a:extLst>
            <a:ext uri="{FF2B5EF4-FFF2-40B4-BE49-F238E27FC236}">
              <a16:creationId xmlns:a16="http://schemas.microsoft.com/office/drawing/2014/main" id="{2614410E-4804-431E-AC8E-FFC962DCE813}"/>
            </a:ext>
          </a:extLst>
        </xdr:cNvPr>
        <xdr:cNvSpPr/>
      </xdr:nvSpPr>
      <xdr:spPr>
        <a:xfrm>
          <a:off x="1970024" y="38100"/>
          <a:ext cx="9298051" cy="1469890"/>
        </a:xfrm>
        <a:prstGeom prst="rect">
          <a:avLst/>
        </a:prstGeom>
        <a:noFill/>
      </xdr:spPr>
      <xdr:txBody>
        <a:bodyPr wrap="square" lIns="91440" tIns="45720" rIns="91440" bIns="45720">
          <a:spAutoFit/>
        </a:bodyPr>
        <a:lstStyle/>
        <a:p>
          <a:pPr algn="ctr"/>
          <a:r>
            <a:rPr lang="es-ES" sz="4400" b="1" cap="none" spc="0">
              <a:ln w="9525">
                <a:solidFill>
                  <a:schemeClr val="bg1"/>
                </a:solidFill>
                <a:prstDash val="solid"/>
              </a:ln>
              <a:solidFill>
                <a:srgbClr val="0070C0"/>
              </a:solidFill>
              <a:effectLst>
                <a:outerShdw blurRad="12700" dist="38100" dir="2700000" algn="tl" rotWithShape="0">
                  <a:schemeClr val="accent5">
                    <a:lumMod val="60000"/>
                    <a:lumOff val="40000"/>
                  </a:schemeClr>
                </a:outerShdw>
              </a:effectLst>
            </a:rPr>
            <a:t>Ranking de Indicadores Sanitarios </a:t>
          </a:r>
        </a:p>
        <a:p>
          <a:pPr algn="ctr"/>
          <a:r>
            <a:rPr lang="es-ES" sz="4400" b="1" cap="none" spc="0">
              <a:ln w="9525">
                <a:solidFill>
                  <a:schemeClr val="bg1"/>
                </a:solidFill>
                <a:prstDash val="solid"/>
              </a:ln>
              <a:solidFill>
                <a:srgbClr val="0070C0"/>
              </a:solidFill>
              <a:effectLst>
                <a:outerShdw blurRad="12700" dist="38100" dir="2700000" algn="tl" rotWithShape="0">
                  <a:schemeClr val="accent5">
                    <a:lumMod val="60000"/>
                    <a:lumOff val="40000"/>
                  </a:schemeClr>
                </a:outerShdw>
              </a:effectLst>
            </a:rPr>
            <a:t>I</a:t>
          </a:r>
          <a:r>
            <a:rPr lang="es-ES" sz="4400" b="1" cap="none" spc="0" baseline="0">
              <a:ln w="9525">
                <a:solidFill>
                  <a:schemeClr val="bg1"/>
                </a:solidFill>
                <a:prstDash val="solid"/>
              </a:ln>
              <a:solidFill>
                <a:srgbClr val="0070C0"/>
              </a:solidFill>
              <a:effectLst>
                <a:outerShdw blurRad="12700" dist="38100" dir="2700000" algn="tl" rotWithShape="0">
                  <a:schemeClr val="accent5">
                    <a:lumMod val="60000"/>
                    <a:lumOff val="40000"/>
                  </a:schemeClr>
                </a:outerShdw>
              </a:effectLst>
            </a:rPr>
            <a:t> Semestre 2023</a:t>
          </a:r>
          <a:endParaRPr lang="es-ES" sz="4400" b="1" cap="none" spc="0">
            <a:ln w="9525">
              <a:solidFill>
                <a:schemeClr val="bg1"/>
              </a:solidFill>
              <a:prstDash val="solid"/>
            </a:ln>
            <a:solidFill>
              <a:srgbClr val="0070C0"/>
            </a:solidFill>
            <a:effectLst>
              <a:outerShdw blurRad="12700" dist="38100" dir="2700000" algn="tl" rotWithShape="0">
                <a:schemeClr val="accent5">
                  <a:lumMod val="60000"/>
                  <a:lumOff val="40000"/>
                </a:schemeClr>
              </a:outerShdw>
            </a:effectLst>
          </a:endParaRPr>
        </a:p>
      </xdr:txBody>
    </xdr:sp>
    <xdr:clientData/>
  </xdr:oneCellAnchor>
  <xdr:twoCellAnchor editAs="oneCell">
    <xdr:from>
      <xdr:col>0</xdr:col>
      <xdr:colOff>161924</xdr:colOff>
      <xdr:row>1</xdr:row>
      <xdr:rowOff>9525</xdr:rowOff>
    </xdr:from>
    <xdr:to>
      <xdr:col>1</xdr:col>
      <xdr:colOff>291329</xdr:colOff>
      <xdr:row>8</xdr:row>
      <xdr:rowOff>19050</xdr:rowOff>
    </xdr:to>
    <xdr:pic>
      <xdr:nvPicPr>
        <xdr:cNvPr id="3" name="Imagen 2">
          <a:extLst>
            <a:ext uri="{FF2B5EF4-FFF2-40B4-BE49-F238E27FC236}">
              <a16:creationId xmlns:a16="http://schemas.microsoft.com/office/drawing/2014/main" id="{89C6334D-BD78-4281-80FB-DF3BA7072D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4" y="171450"/>
          <a:ext cx="1862955" cy="1143000"/>
        </a:xfrm>
        <a:prstGeom prst="rect">
          <a:avLst/>
        </a:prstGeom>
      </xdr:spPr>
    </xdr:pic>
    <xdr:clientData/>
  </xdr:twoCellAnchor>
  <xdr:twoCellAnchor editAs="oneCell">
    <xdr:from>
      <xdr:col>14</xdr:col>
      <xdr:colOff>342900</xdr:colOff>
      <xdr:row>0</xdr:row>
      <xdr:rowOff>85725</xdr:rowOff>
    </xdr:from>
    <xdr:to>
      <xdr:col>15</xdr:col>
      <xdr:colOff>477012</xdr:colOff>
      <xdr:row>8</xdr:row>
      <xdr:rowOff>48482</xdr:rowOff>
    </xdr:to>
    <xdr:pic>
      <xdr:nvPicPr>
        <xdr:cNvPr id="4" name="Imagen 3">
          <a:extLst>
            <a:ext uri="{FF2B5EF4-FFF2-40B4-BE49-F238E27FC236}">
              <a16:creationId xmlns:a16="http://schemas.microsoft.com/office/drawing/2014/main" id="{E8E40CBC-E656-47F5-ABB2-FB45877CBDB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591925" y="85725"/>
          <a:ext cx="896112" cy="1258157"/>
        </a:xfrm>
        <a:prstGeom prst="rect">
          <a:avLst/>
        </a:prstGeom>
      </xdr:spPr>
    </xdr:pic>
    <xdr:clientData/>
  </xdr:twoCellAnchor>
  <xdr:twoCellAnchor>
    <xdr:from>
      <xdr:col>4</xdr:col>
      <xdr:colOff>238124</xdr:colOff>
      <xdr:row>10</xdr:row>
      <xdr:rowOff>104775</xdr:rowOff>
    </xdr:from>
    <xdr:to>
      <xdr:col>15</xdr:col>
      <xdr:colOff>295275</xdr:colOff>
      <xdr:row>40</xdr:row>
      <xdr:rowOff>85725</xdr:rowOff>
    </xdr:to>
    <xdr:graphicFrame macro="">
      <xdr:nvGraphicFramePr>
        <xdr:cNvPr id="5" name="Gráfico 4">
          <a:extLst>
            <a:ext uri="{FF2B5EF4-FFF2-40B4-BE49-F238E27FC236}">
              <a16:creationId xmlns:a16="http://schemas.microsoft.com/office/drawing/2014/main" id="{85E92206-A613-4E30-B861-33B1342CA8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00F07A3-CE86-4A59-9AB9-59A6E9A796E2}" name="BELLAVISTA" displayName="BELLAVISTA" ref="AN6:AN11" totalsRowShown="0" headerRowDxfId="80" dataDxfId="79">
  <autoFilter ref="AN6:AN11" xr:uid="{F00F07A3-CE86-4A59-9AB9-59A6E9A796E2}"/>
  <tableColumns count="1">
    <tableColumn id="1" xr3:uid="{C0DA5805-9156-49E5-B466-6777799D7BD1}" name="BELLAVISTA" dataDxfId="78"/>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FF0A7AE-B1CD-4902-9461-C9917CCBBAA1}" name="DORADO" displayName="DORADO" ref="AO6:AO10" totalsRowShown="0" headerRowDxfId="77" dataDxfId="76">
  <autoFilter ref="AO6:AO10" xr:uid="{3FF0A7AE-B1CD-4902-9461-C9917CCBBAA1}"/>
  <tableColumns count="1">
    <tableColumn id="1" xr3:uid="{EC5BABCC-F5B3-44B1-9742-926883A406F5}" name="DORADO" dataDxfId="75"/>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5D10305-FD32-423E-9352-640F5B5915FE}" name="HUALLAGA" displayName="HUALLAGA" ref="AP6:AP9" totalsRowShown="0" headerRowDxfId="74" dataDxfId="73">
  <autoFilter ref="AP6:AP9" xr:uid="{55D10305-FD32-423E-9352-640F5B5915FE}"/>
  <tableColumns count="1">
    <tableColumn id="1" xr3:uid="{C507D7A3-AFEC-4F19-9262-61181F647B66}" name="HUALLAGA" dataDxfId="72"/>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307EFDD-FBF5-4551-8F3D-6DC77F83E993}" name="LAMAS" displayName="LAMAS" ref="AQ6:AQ13" totalsRowShown="0" headerRowDxfId="71" dataDxfId="70">
  <autoFilter ref="AQ6:AQ13" xr:uid="{4307EFDD-FBF5-4551-8F3D-6DC77F83E993}"/>
  <tableColumns count="1">
    <tableColumn id="1" xr3:uid="{707FC403-710C-4EA2-86E2-B89A27DA2202}" name="LAMAS" dataDxfId="69"/>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A2F86F2-2F97-4604-8B51-0389751D284A}" name="MCACERES" displayName="MCACERES" ref="AR6:AR11" totalsRowShown="0" headerRowDxfId="68" dataDxfId="67">
  <autoFilter ref="AR6:AR11" xr:uid="{8A2F86F2-2F97-4604-8B51-0389751D284A}"/>
  <tableColumns count="1">
    <tableColumn id="1" xr3:uid="{1865451E-10E5-4FED-9976-0B32D7588CC1}" name="MCACERES" dataDxfId="66"/>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105C2DA-DCB8-4EEE-9112-B9F50EDAA377}" name="MOYOBAMBA" displayName="MOYOBAMBA" ref="AS6:AS15" totalsRowShown="0" headerRowDxfId="65" dataDxfId="64">
  <autoFilter ref="AS6:AS15" xr:uid="{8105C2DA-DCB8-4EEE-9112-B9F50EDAA377}"/>
  <tableColumns count="1">
    <tableColumn id="1" xr3:uid="{9D8DFE0B-B246-4847-9DB7-B7DBDE172709}" name="MOYOBAMBA" dataDxfId="63"/>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8FB78C4-0EF4-43AD-AFDC-5B68192AC0F0}" name="PICOTA" displayName="PICOTA" ref="AT6:AT10" totalsRowShown="0" headerRowDxfId="62" dataDxfId="61">
  <autoFilter ref="AT6:AT10" xr:uid="{A8FB78C4-0EF4-43AD-AFDC-5B68192AC0F0}"/>
  <tableColumns count="1">
    <tableColumn id="1" xr3:uid="{8C4293B4-FF37-435E-A0BA-422CFF1F2554}" name="PICOTA" dataDxfId="60"/>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6D16E3C-6336-455A-9A57-13E2FF2F3B2E}" name="RIOJA" displayName="RIOJA" ref="AU6:AU15" totalsRowShown="0" headerRowDxfId="59" dataDxfId="58">
  <autoFilter ref="AU6:AU15" xr:uid="{26D16E3C-6336-455A-9A57-13E2FF2F3B2E}"/>
  <tableColumns count="1">
    <tableColumn id="1" xr3:uid="{3180D190-BE53-4013-BF46-5DF32BFE7F8B}" name="RIOJA" dataDxfId="57"/>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ECE5795-8DF7-449B-9615-54116D710B6C}" name="SANMARTIN" displayName="SANMARTIN" ref="AV6:AV15" totalsRowShown="0" headerRowDxfId="56" dataDxfId="55">
  <autoFilter ref="AV6:AV15" xr:uid="{DECE5795-8DF7-449B-9615-54116D710B6C}"/>
  <tableColumns count="1">
    <tableColumn id="1" xr3:uid="{778D216C-33B3-4989-866F-F0F5DE689E6D}" name="SANMARTIN" dataDxfId="54"/>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D03767A-35E9-4015-B797-C4681868C1C7}" name="TOCACHE" displayName="TOCACHE" ref="AW6:AW11" totalsRowShown="0" headerRowDxfId="53" dataDxfId="52">
  <autoFilter ref="AW6:AW11" xr:uid="{7D03767A-35E9-4015-B797-C4681868C1C7}"/>
  <tableColumns count="1">
    <tableColumn id="1" xr3:uid="{A36B7FA9-BE5C-4693-82BE-10E69245B836}" name="TOCACHE" dataDxfId="51"/>
  </tableColumns>
  <tableStyleInfo name="TableStyleMedium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5D399BE-E64A-4E14-BFAF-B8AFD286C942}" name="REGION" displayName="REGION" ref="AX6:AX7" totalsRowShown="0" headerRowDxfId="50" dataDxfId="49">
  <autoFilter ref="AX6:AX7" xr:uid="{A5D399BE-E64A-4E14-BFAF-B8AFD286C942}"/>
  <tableColumns count="1">
    <tableColumn id="1" xr3:uid="{825B1EBE-6EAA-4F59-A66A-12D2A0DE19D6}" name="REGION" dataDxfId="48"/>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6.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00B050"/>
  </sheetPr>
  <dimension ref="A1:AA87"/>
  <sheetViews>
    <sheetView workbookViewId="0"/>
  </sheetViews>
  <sheetFormatPr baseColWidth="10" defaultColWidth="11.42578125" defaultRowHeight="12.75"/>
  <cols>
    <col min="1" max="1" width="4.28515625" style="178" customWidth="1"/>
    <col min="2" max="2" width="12.7109375" style="178" customWidth="1"/>
    <col min="3" max="3" width="4.28515625" style="178" customWidth="1"/>
    <col min="4" max="4" width="5.7109375" style="34" customWidth="1"/>
    <col min="5" max="10" width="11.42578125" style="34"/>
    <col min="11" max="11" width="13.85546875" style="34" customWidth="1"/>
    <col min="12" max="12" width="11.42578125" style="34"/>
    <col min="13" max="13" width="42.140625" style="34" customWidth="1"/>
    <col min="14" max="14" width="4.28515625" style="178" customWidth="1"/>
    <col min="15" max="15" width="13" style="178" customWidth="1"/>
    <col min="16" max="21" width="11.42578125" style="178"/>
    <col min="22" max="27" width="11.42578125" style="41"/>
    <col min="28" max="16384" width="11.42578125" style="34"/>
  </cols>
  <sheetData>
    <row r="1" spans="1:27" s="40" customFormat="1" ht="38.25" customHeight="1">
      <c r="A1" s="178"/>
      <c r="B1" s="178"/>
      <c r="C1" s="585" t="s">
        <v>281</v>
      </c>
      <c r="D1" s="585"/>
      <c r="E1" s="585"/>
      <c r="F1" s="585"/>
      <c r="G1" s="585"/>
      <c r="H1" s="585"/>
      <c r="I1" s="585"/>
      <c r="J1" s="585"/>
      <c r="K1" s="585"/>
      <c r="L1" s="585"/>
      <c r="M1" s="585"/>
      <c r="N1" s="585"/>
      <c r="O1" s="177"/>
      <c r="P1" s="178"/>
      <c r="Q1" s="178"/>
      <c r="R1" s="178"/>
      <c r="S1" s="178"/>
      <c r="T1" s="178"/>
      <c r="U1" s="178"/>
      <c r="V1" s="41"/>
      <c r="W1" s="41"/>
      <c r="X1" s="41"/>
      <c r="Y1" s="41"/>
      <c r="Z1" s="41"/>
      <c r="AA1" s="41"/>
    </row>
    <row r="2" spans="1:27" s="39" customFormat="1" ht="11.25" customHeight="1">
      <c r="A2" s="178"/>
      <c r="B2" s="178"/>
      <c r="C2" s="178"/>
      <c r="D2" s="586"/>
      <c r="E2" s="586"/>
      <c r="F2" s="586"/>
      <c r="G2" s="586"/>
      <c r="H2" s="586"/>
      <c r="I2" s="586"/>
      <c r="J2" s="586"/>
      <c r="K2" s="586"/>
      <c r="L2" s="586"/>
      <c r="M2" s="586"/>
      <c r="N2" s="178"/>
      <c r="O2" s="178"/>
      <c r="P2" s="178"/>
      <c r="Q2" s="178"/>
      <c r="R2" s="178"/>
      <c r="S2" s="178"/>
      <c r="T2" s="178"/>
      <c r="U2" s="178"/>
      <c r="V2" s="41"/>
      <c r="W2" s="41"/>
      <c r="X2" s="41"/>
      <c r="Y2" s="41"/>
      <c r="Z2" s="41"/>
      <c r="AA2" s="41"/>
    </row>
    <row r="3" spans="1:27" s="33" customFormat="1" ht="27.75">
      <c r="A3" s="178"/>
      <c r="B3" s="178"/>
      <c r="C3" s="178"/>
      <c r="D3" s="588"/>
      <c r="E3" s="588"/>
      <c r="F3" s="588"/>
      <c r="G3" s="588"/>
      <c r="H3" s="588"/>
      <c r="I3" s="588"/>
      <c r="J3" s="588"/>
      <c r="K3" s="588"/>
      <c r="L3" s="588"/>
      <c r="M3" s="588"/>
      <c r="N3" s="178"/>
      <c r="O3" s="178"/>
      <c r="P3" s="178"/>
      <c r="Q3" s="178"/>
      <c r="R3" s="178"/>
      <c r="S3" s="178"/>
      <c r="T3" s="178"/>
      <c r="U3" s="178"/>
      <c r="V3" s="41"/>
      <c r="W3" s="41"/>
      <c r="X3" s="41"/>
      <c r="Y3" s="41"/>
      <c r="Z3" s="41"/>
      <c r="AA3" s="41"/>
    </row>
    <row r="4" spans="1:27" ht="8.25" customHeight="1">
      <c r="D4" s="180"/>
      <c r="E4" s="180"/>
      <c r="F4" s="180"/>
      <c r="G4" s="180"/>
      <c r="H4" s="180"/>
      <c r="I4" s="180"/>
      <c r="J4" s="180"/>
      <c r="K4" s="180"/>
      <c r="L4" s="180"/>
      <c r="M4" s="180"/>
    </row>
    <row r="5" spans="1:27" ht="29.25" customHeight="1">
      <c r="D5" s="590" t="s">
        <v>8</v>
      </c>
      <c r="E5" s="590"/>
      <c r="F5" s="590"/>
      <c r="G5" s="590"/>
      <c r="H5" s="590"/>
      <c r="I5" s="590"/>
      <c r="J5" s="590"/>
      <c r="K5" s="590"/>
      <c r="L5" s="590"/>
      <c r="M5" s="590"/>
    </row>
    <row r="6" spans="1:27" ht="5.25" customHeight="1">
      <c r="D6" s="180"/>
      <c r="E6" s="180"/>
      <c r="F6" s="180"/>
      <c r="G6" s="180"/>
      <c r="H6" s="180"/>
      <c r="I6" s="180"/>
      <c r="J6" s="180"/>
      <c r="K6" s="180"/>
      <c r="L6" s="180"/>
      <c r="M6" s="180"/>
    </row>
    <row r="7" spans="1:27" s="33" customFormat="1" ht="33.75">
      <c r="A7" s="178"/>
      <c r="B7" s="178"/>
      <c r="C7" s="178"/>
      <c r="D7" s="589" t="s">
        <v>67</v>
      </c>
      <c r="E7" s="589"/>
      <c r="F7" s="589"/>
      <c r="G7" s="589"/>
      <c r="H7" s="589"/>
      <c r="I7" s="589"/>
      <c r="J7" s="589"/>
      <c r="K7" s="589"/>
      <c r="L7" s="589"/>
      <c r="M7" s="589"/>
      <c r="N7" s="178"/>
      <c r="O7" s="178"/>
      <c r="P7" s="178"/>
      <c r="Q7" s="178"/>
      <c r="R7" s="178"/>
      <c r="S7" s="178"/>
      <c r="T7" s="178"/>
      <c r="U7" s="178"/>
      <c r="V7" s="41"/>
      <c r="W7" s="41"/>
      <c r="X7" s="41"/>
      <c r="Y7" s="41"/>
      <c r="Z7" s="41"/>
      <c r="AA7" s="41"/>
    </row>
    <row r="8" spans="1:27" ht="10.5" customHeight="1">
      <c r="D8" s="181"/>
      <c r="E8" s="181"/>
      <c r="F8" s="181"/>
      <c r="G8" s="181"/>
      <c r="H8" s="181"/>
      <c r="I8" s="181"/>
      <c r="J8" s="181"/>
      <c r="K8" s="181"/>
      <c r="L8" s="181"/>
      <c r="M8" s="181"/>
    </row>
    <row r="9" spans="1:27" s="42" customFormat="1" ht="25.5" customHeight="1">
      <c r="A9" s="179"/>
      <c r="B9" s="179"/>
      <c r="C9" s="179"/>
      <c r="D9" s="182" t="s">
        <v>9</v>
      </c>
      <c r="E9" s="183" t="s">
        <v>405</v>
      </c>
      <c r="F9" s="184"/>
      <c r="G9" s="185"/>
      <c r="H9" s="185"/>
      <c r="I9" s="185"/>
      <c r="J9" s="185"/>
      <c r="K9" s="185"/>
      <c r="L9" s="185"/>
      <c r="M9" s="185"/>
      <c r="N9" s="179"/>
      <c r="O9" s="179"/>
      <c r="P9" s="178"/>
      <c r="Q9" s="178"/>
      <c r="R9" s="179"/>
      <c r="S9" s="179"/>
      <c r="T9" s="179"/>
      <c r="U9" s="179"/>
      <c r="V9" s="43"/>
      <c r="W9" s="43"/>
      <c r="X9" s="43"/>
      <c r="Y9" s="43"/>
      <c r="Z9" s="43"/>
      <c r="AA9" s="43"/>
    </row>
    <row r="10" spans="1:27" s="42" customFormat="1" ht="25.5" customHeight="1">
      <c r="A10" s="179"/>
      <c r="B10" s="179"/>
      <c r="C10" s="179"/>
      <c r="D10" s="182" t="s">
        <v>10</v>
      </c>
      <c r="E10" s="183" t="s">
        <v>123</v>
      </c>
      <c r="F10" s="184"/>
      <c r="G10" s="185"/>
      <c r="H10" s="185"/>
      <c r="I10" s="185"/>
      <c r="J10" s="185"/>
      <c r="K10" s="185"/>
      <c r="L10" s="185"/>
      <c r="M10" s="185"/>
      <c r="N10" s="179"/>
      <c r="O10" s="179"/>
      <c r="P10" s="178"/>
      <c r="Q10" s="178"/>
      <c r="R10" s="179"/>
      <c r="S10" s="179"/>
      <c r="T10" s="179"/>
      <c r="U10" s="179"/>
      <c r="V10" s="43"/>
      <c r="W10" s="43"/>
      <c r="X10" s="43"/>
      <c r="Y10" s="43"/>
      <c r="Z10" s="43"/>
      <c r="AA10" s="43"/>
    </row>
    <row r="11" spans="1:27" s="42" customFormat="1" ht="25.5" customHeight="1">
      <c r="A11" s="179"/>
      <c r="B11" s="179"/>
      <c r="C11" s="179"/>
      <c r="D11" s="182" t="s">
        <v>11</v>
      </c>
      <c r="E11" s="183" t="s">
        <v>128</v>
      </c>
      <c r="F11" s="184"/>
      <c r="G11" s="185"/>
      <c r="H11" s="185"/>
      <c r="I11" s="185"/>
      <c r="J11" s="185"/>
      <c r="K11" s="185"/>
      <c r="L11" s="185"/>
      <c r="M11" s="185"/>
      <c r="N11" s="179"/>
      <c r="O11" s="179"/>
      <c r="P11" s="178"/>
      <c r="Q11" s="178"/>
      <c r="R11" s="179"/>
      <c r="S11" s="179"/>
      <c r="T11" s="179"/>
      <c r="U11" s="179"/>
      <c r="V11" s="43"/>
      <c r="W11" s="43"/>
      <c r="X11" s="43"/>
      <c r="Y11" s="43"/>
      <c r="Z11" s="43"/>
      <c r="AA11" s="43"/>
    </row>
    <row r="12" spans="1:27" s="42" customFormat="1" ht="25.5" customHeight="1">
      <c r="A12" s="179"/>
      <c r="B12" s="179"/>
      <c r="C12" s="179"/>
      <c r="D12" s="182" t="s">
        <v>29</v>
      </c>
      <c r="E12" s="183" t="s">
        <v>124</v>
      </c>
      <c r="F12" s="184"/>
      <c r="G12" s="185"/>
      <c r="H12" s="185"/>
      <c r="I12" s="185"/>
      <c r="J12" s="185"/>
      <c r="K12" s="185"/>
      <c r="L12" s="185"/>
      <c r="M12" s="185"/>
      <c r="N12" s="179"/>
      <c r="O12" s="179"/>
      <c r="P12" s="178"/>
      <c r="Q12" s="178"/>
      <c r="R12" s="179"/>
      <c r="S12" s="179"/>
      <c r="T12" s="179"/>
      <c r="U12" s="179"/>
      <c r="V12" s="43"/>
      <c r="W12" s="43"/>
      <c r="X12" s="43"/>
      <c r="Y12" s="43"/>
      <c r="Z12" s="43"/>
      <c r="AA12" s="43"/>
    </row>
    <row r="13" spans="1:27" s="42" customFormat="1" ht="25.5" customHeight="1">
      <c r="A13" s="179"/>
      <c r="B13" s="179"/>
      <c r="C13" s="179"/>
      <c r="D13" s="182" t="s">
        <v>30</v>
      </c>
      <c r="E13" s="183" t="s">
        <v>127</v>
      </c>
      <c r="F13" s="184"/>
      <c r="G13" s="185"/>
      <c r="H13" s="185"/>
      <c r="I13" s="185"/>
      <c r="J13" s="185"/>
      <c r="K13" s="185"/>
      <c r="L13" s="185"/>
      <c r="M13" s="185"/>
      <c r="N13" s="179"/>
      <c r="O13" s="179"/>
      <c r="P13" s="178"/>
      <c r="Q13" s="178"/>
      <c r="R13" s="179"/>
      <c r="S13" s="179"/>
      <c r="T13" s="179"/>
      <c r="U13" s="179"/>
      <c r="V13" s="43"/>
      <c r="W13" s="43"/>
      <c r="X13" s="43"/>
      <c r="Y13" s="43"/>
      <c r="Z13" s="43"/>
      <c r="AA13" s="43"/>
    </row>
    <row r="14" spans="1:27" s="42" customFormat="1" ht="25.5" customHeight="1">
      <c r="A14" s="179"/>
      <c r="B14" s="179"/>
      <c r="C14" s="179"/>
      <c r="D14" s="182" t="s">
        <v>44</v>
      </c>
      <c r="E14" s="183" t="s">
        <v>125</v>
      </c>
      <c r="F14" s="184"/>
      <c r="G14" s="185"/>
      <c r="H14" s="185"/>
      <c r="I14" s="185"/>
      <c r="J14" s="185"/>
      <c r="K14" s="185"/>
      <c r="L14" s="185"/>
      <c r="M14" s="185"/>
      <c r="N14" s="179"/>
      <c r="O14" s="179"/>
      <c r="P14" s="178"/>
      <c r="Q14" s="178"/>
      <c r="R14" s="179"/>
      <c r="S14" s="179"/>
      <c r="T14" s="179"/>
      <c r="U14" s="179"/>
      <c r="V14" s="43"/>
      <c r="W14" s="43"/>
      <c r="X14" s="43"/>
      <c r="Y14" s="43"/>
      <c r="Z14" s="43"/>
      <c r="AA14" s="43"/>
    </row>
    <row r="15" spans="1:27" s="42" customFormat="1" ht="25.5" customHeight="1">
      <c r="A15" s="179"/>
      <c r="B15" s="179"/>
      <c r="C15" s="179"/>
      <c r="D15" s="182" t="s">
        <v>122</v>
      </c>
      <c r="E15" s="183" t="s">
        <v>45</v>
      </c>
      <c r="F15" s="184"/>
      <c r="G15" s="185"/>
      <c r="H15" s="185"/>
      <c r="I15" s="185"/>
      <c r="J15" s="185"/>
      <c r="K15" s="185"/>
      <c r="L15" s="185"/>
      <c r="M15" s="185"/>
      <c r="N15" s="179"/>
      <c r="O15" s="179"/>
      <c r="P15" s="178"/>
      <c r="Q15" s="178"/>
      <c r="R15" s="179"/>
      <c r="S15" s="179"/>
      <c r="T15" s="179"/>
      <c r="U15" s="179"/>
      <c r="V15" s="43"/>
      <c r="W15" s="43"/>
      <c r="X15" s="43"/>
      <c r="Y15" s="43"/>
      <c r="Z15" s="43"/>
      <c r="AA15" s="43"/>
    </row>
    <row r="16" spans="1:27" ht="23.25">
      <c r="D16" s="587"/>
      <c r="E16" s="587"/>
      <c r="F16" s="587"/>
      <c r="G16" s="587"/>
      <c r="H16" s="587"/>
      <c r="I16" s="587"/>
      <c r="J16" s="587"/>
      <c r="K16" s="587"/>
      <c r="L16" s="587"/>
      <c r="M16" s="587"/>
    </row>
    <row r="17" spans="4:13">
      <c r="D17" s="181"/>
      <c r="E17" s="181"/>
      <c r="F17" s="181"/>
      <c r="G17" s="181"/>
      <c r="H17" s="181"/>
      <c r="I17" s="181"/>
      <c r="J17" s="181"/>
      <c r="K17" s="181"/>
      <c r="L17" s="181"/>
      <c r="M17" s="181"/>
    </row>
    <row r="18" spans="4:13">
      <c r="D18" s="181"/>
      <c r="E18" s="181"/>
      <c r="F18" s="181"/>
      <c r="G18" s="181"/>
      <c r="H18" s="181"/>
      <c r="I18" s="181"/>
      <c r="J18" s="181"/>
      <c r="K18" s="181"/>
      <c r="L18" s="181"/>
      <c r="M18" s="181"/>
    </row>
    <row r="19" spans="4:13">
      <c r="D19" s="181"/>
      <c r="E19" s="181"/>
      <c r="F19" s="181"/>
      <c r="G19" s="181"/>
      <c r="H19" s="181"/>
      <c r="I19" s="181"/>
      <c r="J19" s="181"/>
      <c r="K19" s="181"/>
      <c r="L19" s="181"/>
      <c r="M19" s="181"/>
    </row>
    <row r="20" spans="4:13">
      <c r="D20" s="181"/>
      <c r="E20" s="181"/>
      <c r="F20" s="181"/>
      <c r="G20" s="181"/>
      <c r="H20" s="181"/>
      <c r="I20" s="181"/>
      <c r="J20" s="181"/>
      <c r="K20" s="181"/>
      <c r="L20" s="181"/>
      <c r="M20" s="181"/>
    </row>
    <row r="21" spans="4:13">
      <c r="D21" s="181"/>
      <c r="E21" s="181"/>
      <c r="F21" s="181"/>
      <c r="G21" s="181"/>
      <c r="H21" s="181"/>
      <c r="I21" s="181"/>
      <c r="J21" s="181"/>
      <c r="K21" s="181"/>
      <c r="L21" s="181"/>
      <c r="M21" s="181"/>
    </row>
    <row r="22" spans="4:13" ht="26.25" customHeight="1">
      <c r="D22" s="181"/>
      <c r="E22" s="181"/>
      <c r="F22" s="181"/>
      <c r="G22" s="181"/>
      <c r="H22" s="181"/>
      <c r="I22" s="181"/>
      <c r="J22" s="181"/>
      <c r="K22" s="181"/>
      <c r="L22" s="181"/>
      <c r="M22" s="181"/>
    </row>
    <row r="23" spans="4:13" s="178" customFormat="1"/>
    <row r="24" spans="4:13" s="178" customFormat="1"/>
    <row r="25" spans="4:13" s="178" customFormat="1"/>
    <row r="26" spans="4:13" s="178" customFormat="1"/>
    <row r="27" spans="4:13" s="178" customFormat="1"/>
    <row r="28" spans="4:13" s="178" customFormat="1"/>
    <row r="29" spans="4:13" s="178" customFormat="1"/>
    <row r="30" spans="4:13" s="178" customFormat="1"/>
    <row r="31" spans="4:13" s="178" customFormat="1"/>
    <row r="32" spans="4:13" s="178" customFormat="1"/>
    <row r="33" s="178" customFormat="1"/>
    <row r="34" s="178" customFormat="1"/>
    <row r="35" s="178" customFormat="1"/>
    <row r="36" s="178" customFormat="1"/>
    <row r="37" s="178" customFormat="1"/>
    <row r="38" s="178" customFormat="1"/>
    <row r="39" s="178" customFormat="1"/>
    <row r="40" s="178" customFormat="1"/>
    <row r="41" s="178" customFormat="1"/>
    <row r="42" s="178" customFormat="1"/>
    <row r="43" s="178" customFormat="1"/>
    <row r="44" s="178" customFormat="1"/>
    <row r="45" s="178" customFormat="1"/>
    <row r="46" s="178" customFormat="1"/>
    <row r="47" s="178" customFormat="1"/>
    <row r="48" s="178" customFormat="1"/>
    <row r="49" spans="1:21" s="178" customFormat="1"/>
    <row r="50" spans="1:21" s="178" customFormat="1"/>
    <row r="51" spans="1:21" s="41" customFormat="1">
      <c r="A51" s="178"/>
      <c r="B51" s="178"/>
      <c r="C51" s="178"/>
      <c r="N51" s="178"/>
      <c r="O51" s="178"/>
      <c r="P51" s="178"/>
      <c r="Q51" s="178"/>
      <c r="R51" s="178"/>
      <c r="S51" s="178"/>
      <c r="T51" s="178"/>
      <c r="U51" s="178"/>
    </row>
    <row r="52" spans="1:21" s="41" customFormat="1">
      <c r="A52" s="178"/>
      <c r="B52" s="178"/>
      <c r="C52" s="178"/>
      <c r="N52" s="178"/>
      <c r="O52" s="178"/>
      <c r="P52" s="178"/>
      <c r="Q52" s="178"/>
      <c r="R52" s="178"/>
      <c r="S52" s="178"/>
      <c r="T52" s="178"/>
      <c r="U52" s="178"/>
    </row>
    <row r="53" spans="1:21" s="41" customFormat="1">
      <c r="A53" s="178"/>
      <c r="B53" s="178"/>
      <c r="C53" s="178"/>
      <c r="N53" s="178"/>
      <c r="O53" s="178"/>
      <c r="P53" s="178"/>
      <c r="Q53" s="178"/>
      <c r="R53" s="178"/>
      <c r="S53" s="178"/>
      <c r="T53" s="178"/>
      <c r="U53" s="178"/>
    </row>
    <row r="54" spans="1:21" s="41" customFormat="1">
      <c r="A54" s="178"/>
      <c r="B54" s="178"/>
      <c r="C54" s="178"/>
      <c r="N54" s="178"/>
      <c r="O54" s="178"/>
      <c r="P54" s="178"/>
      <c r="Q54" s="178"/>
      <c r="R54" s="178"/>
      <c r="S54" s="178"/>
      <c r="T54" s="178"/>
      <c r="U54" s="178"/>
    </row>
    <row r="55" spans="1:21" s="41" customFormat="1">
      <c r="A55" s="178"/>
      <c r="B55" s="178"/>
      <c r="C55" s="178"/>
      <c r="N55" s="178"/>
      <c r="O55" s="178"/>
      <c r="P55" s="178"/>
      <c r="Q55" s="178"/>
      <c r="R55" s="178"/>
      <c r="S55" s="178"/>
      <c r="T55" s="178"/>
      <c r="U55" s="178"/>
    </row>
    <row r="56" spans="1:21" s="41" customFormat="1">
      <c r="A56" s="178"/>
      <c r="B56" s="178"/>
      <c r="C56" s="178"/>
      <c r="N56" s="178"/>
      <c r="O56" s="178"/>
      <c r="P56" s="178"/>
      <c r="Q56" s="178"/>
      <c r="R56" s="178"/>
      <c r="S56" s="178"/>
      <c r="T56" s="178"/>
      <c r="U56" s="178"/>
    </row>
    <row r="57" spans="1:21" s="41" customFormat="1">
      <c r="A57" s="178"/>
      <c r="B57" s="178"/>
      <c r="C57" s="178"/>
      <c r="N57" s="178"/>
      <c r="O57" s="178"/>
      <c r="P57" s="178"/>
      <c r="Q57" s="178"/>
      <c r="R57" s="178"/>
      <c r="S57" s="178"/>
      <c r="T57" s="178"/>
      <c r="U57" s="178"/>
    </row>
    <row r="58" spans="1:21" s="41" customFormat="1">
      <c r="A58" s="178"/>
      <c r="B58" s="178"/>
      <c r="C58" s="178"/>
      <c r="N58" s="178"/>
      <c r="O58" s="178"/>
      <c r="P58" s="178"/>
      <c r="Q58" s="178"/>
      <c r="R58" s="178"/>
      <c r="S58" s="178"/>
      <c r="T58" s="178"/>
      <c r="U58" s="178"/>
    </row>
    <row r="59" spans="1:21" s="41" customFormat="1">
      <c r="A59" s="178"/>
      <c r="B59" s="178"/>
      <c r="C59" s="178"/>
      <c r="N59" s="178"/>
      <c r="O59" s="178"/>
      <c r="P59" s="178"/>
      <c r="Q59" s="178"/>
      <c r="R59" s="178"/>
      <c r="S59" s="178"/>
      <c r="T59" s="178"/>
      <c r="U59" s="178"/>
    </row>
    <row r="60" spans="1:21" s="41" customFormat="1">
      <c r="A60" s="178"/>
      <c r="B60" s="178"/>
      <c r="C60" s="178"/>
      <c r="N60" s="178"/>
      <c r="O60" s="178"/>
      <c r="P60" s="178"/>
      <c r="Q60" s="178"/>
      <c r="R60" s="178"/>
      <c r="S60" s="178"/>
      <c r="T60" s="178"/>
      <c r="U60" s="178"/>
    </row>
    <row r="61" spans="1:21" s="41" customFormat="1">
      <c r="A61" s="178"/>
      <c r="B61" s="178"/>
      <c r="C61" s="178"/>
      <c r="N61" s="178"/>
      <c r="O61" s="178"/>
      <c r="P61" s="178"/>
      <c r="Q61" s="178"/>
      <c r="R61" s="178"/>
      <c r="S61" s="178"/>
      <c r="T61" s="178"/>
      <c r="U61" s="178"/>
    </row>
    <row r="62" spans="1:21" s="41" customFormat="1">
      <c r="A62" s="178"/>
      <c r="B62" s="178"/>
      <c r="C62" s="178"/>
      <c r="N62" s="178"/>
      <c r="O62" s="178"/>
      <c r="P62" s="178"/>
      <c r="Q62" s="178"/>
      <c r="R62" s="178"/>
      <c r="S62" s="178"/>
      <c r="T62" s="178"/>
      <c r="U62" s="178"/>
    </row>
    <row r="63" spans="1:21" s="41" customFormat="1">
      <c r="A63" s="178"/>
      <c r="B63" s="178"/>
      <c r="C63" s="178"/>
      <c r="N63" s="178"/>
      <c r="O63" s="178"/>
      <c r="P63" s="178"/>
      <c r="Q63" s="178"/>
      <c r="R63" s="178"/>
      <c r="S63" s="178"/>
      <c r="T63" s="178"/>
      <c r="U63" s="178"/>
    </row>
    <row r="64" spans="1:21" s="41" customFormat="1">
      <c r="A64" s="178"/>
      <c r="B64" s="178"/>
      <c r="C64" s="178"/>
      <c r="N64" s="178"/>
      <c r="O64" s="178"/>
      <c r="P64" s="178"/>
      <c r="Q64" s="178"/>
      <c r="R64" s="178"/>
      <c r="S64" s="178"/>
      <c r="T64" s="178"/>
      <c r="U64" s="178"/>
    </row>
    <row r="65" spans="1:21" s="41" customFormat="1">
      <c r="A65" s="178"/>
      <c r="B65" s="178"/>
      <c r="C65" s="178"/>
      <c r="N65" s="178"/>
      <c r="O65" s="178"/>
      <c r="P65" s="178"/>
      <c r="Q65" s="178"/>
      <c r="R65" s="178"/>
      <c r="S65" s="178"/>
      <c r="T65" s="178"/>
      <c r="U65" s="178"/>
    </row>
    <row r="66" spans="1:21" s="41" customFormat="1">
      <c r="A66" s="178"/>
      <c r="B66" s="178"/>
      <c r="C66" s="178"/>
      <c r="N66" s="178"/>
      <c r="O66" s="178"/>
      <c r="P66" s="178"/>
      <c r="Q66" s="178"/>
      <c r="R66" s="178"/>
      <c r="S66" s="178"/>
      <c r="T66" s="178"/>
      <c r="U66" s="178"/>
    </row>
    <row r="67" spans="1:21" s="41" customFormat="1">
      <c r="A67" s="178"/>
      <c r="B67" s="178"/>
      <c r="C67" s="178"/>
      <c r="N67" s="178"/>
      <c r="O67" s="178"/>
      <c r="P67" s="178"/>
      <c r="Q67" s="178"/>
      <c r="R67" s="178"/>
      <c r="S67" s="178"/>
      <c r="T67" s="178"/>
      <c r="U67" s="178"/>
    </row>
    <row r="68" spans="1:21" s="41" customFormat="1">
      <c r="A68" s="178"/>
      <c r="B68" s="178"/>
      <c r="C68" s="178"/>
      <c r="N68" s="178"/>
      <c r="O68" s="178"/>
      <c r="P68" s="178"/>
      <c r="Q68" s="178"/>
      <c r="R68" s="178"/>
      <c r="S68" s="178"/>
      <c r="T68" s="178"/>
      <c r="U68" s="178"/>
    </row>
    <row r="69" spans="1:21" s="41" customFormat="1">
      <c r="A69" s="178"/>
      <c r="B69" s="178"/>
      <c r="C69" s="178"/>
      <c r="N69" s="178"/>
      <c r="O69" s="178"/>
      <c r="P69" s="178"/>
      <c r="Q69" s="178"/>
      <c r="R69" s="178"/>
      <c r="S69" s="178"/>
      <c r="T69" s="178"/>
      <c r="U69" s="178"/>
    </row>
    <row r="70" spans="1:21" s="41" customFormat="1">
      <c r="A70" s="178"/>
      <c r="B70" s="178"/>
      <c r="C70" s="178"/>
      <c r="N70" s="178"/>
      <c r="O70" s="178"/>
      <c r="P70" s="178"/>
      <c r="Q70" s="178"/>
      <c r="R70" s="178"/>
      <c r="S70" s="178"/>
      <c r="T70" s="178"/>
      <c r="U70" s="178"/>
    </row>
    <row r="71" spans="1:21" s="41" customFormat="1">
      <c r="A71" s="178"/>
      <c r="B71" s="178"/>
      <c r="C71" s="178"/>
      <c r="N71" s="178"/>
      <c r="O71" s="178"/>
      <c r="P71" s="178"/>
      <c r="Q71" s="178"/>
      <c r="R71" s="178"/>
      <c r="S71" s="178"/>
      <c r="T71" s="178"/>
      <c r="U71" s="178"/>
    </row>
    <row r="72" spans="1:21" s="41" customFormat="1">
      <c r="A72" s="178"/>
      <c r="B72" s="178"/>
      <c r="C72" s="178"/>
      <c r="N72" s="178"/>
      <c r="O72" s="178"/>
      <c r="P72" s="178"/>
      <c r="Q72" s="178"/>
      <c r="R72" s="178"/>
      <c r="S72" s="178"/>
      <c r="T72" s="178"/>
      <c r="U72" s="178"/>
    </row>
    <row r="73" spans="1:21" s="41" customFormat="1">
      <c r="A73" s="178"/>
      <c r="B73" s="178"/>
      <c r="C73" s="178"/>
      <c r="N73" s="178"/>
      <c r="O73" s="178"/>
      <c r="P73" s="178"/>
      <c r="Q73" s="178"/>
      <c r="R73" s="178"/>
      <c r="S73" s="178"/>
      <c r="T73" s="178"/>
      <c r="U73" s="178"/>
    </row>
    <row r="74" spans="1:21" s="41" customFormat="1">
      <c r="A74" s="178"/>
      <c r="B74" s="178"/>
      <c r="C74" s="178"/>
      <c r="N74" s="178"/>
      <c r="O74" s="178"/>
      <c r="P74" s="178"/>
      <c r="Q74" s="178"/>
      <c r="R74" s="178"/>
      <c r="S74" s="178"/>
      <c r="T74" s="178"/>
      <c r="U74" s="178"/>
    </row>
    <row r="75" spans="1:21" s="41" customFormat="1">
      <c r="A75" s="178"/>
      <c r="B75" s="178"/>
      <c r="C75" s="178"/>
      <c r="N75" s="178"/>
      <c r="O75" s="178"/>
      <c r="P75" s="178"/>
      <c r="Q75" s="178"/>
      <c r="R75" s="178"/>
      <c r="S75" s="178"/>
      <c r="T75" s="178"/>
      <c r="U75" s="178"/>
    </row>
    <row r="76" spans="1:21" s="41" customFormat="1">
      <c r="A76" s="178"/>
      <c r="B76" s="178"/>
      <c r="C76" s="178"/>
      <c r="N76" s="178"/>
      <c r="O76" s="178"/>
      <c r="P76" s="178"/>
      <c r="Q76" s="178"/>
      <c r="R76" s="178"/>
      <c r="S76" s="178"/>
      <c r="T76" s="178"/>
      <c r="U76" s="178"/>
    </row>
    <row r="77" spans="1:21" s="41" customFormat="1">
      <c r="A77" s="178"/>
      <c r="B77" s="178"/>
      <c r="C77" s="178"/>
      <c r="N77" s="178"/>
      <c r="O77" s="178"/>
      <c r="P77" s="178"/>
      <c r="Q77" s="178"/>
      <c r="R77" s="178"/>
      <c r="S77" s="178"/>
      <c r="T77" s="178"/>
      <c r="U77" s="178"/>
    </row>
    <row r="78" spans="1:21" s="41" customFormat="1">
      <c r="A78" s="178"/>
      <c r="B78" s="178"/>
      <c r="C78" s="178"/>
      <c r="N78" s="178"/>
      <c r="O78" s="178"/>
      <c r="P78" s="178"/>
      <c r="Q78" s="178"/>
      <c r="R78" s="178"/>
      <c r="S78" s="178"/>
      <c r="T78" s="178"/>
      <c r="U78" s="178"/>
    </row>
    <row r="79" spans="1:21" s="41" customFormat="1">
      <c r="A79" s="178"/>
      <c r="B79" s="178"/>
      <c r="C79" s="178"/>
      <c r="N79" s="178"/>
      <c r="O79" s="178"/>
      <c r="P79" s="178"/>
      <c r="Q79" s="178"/>
      <c r="R79" s="178"/>
      <c r="S79" s="178"/>
      <c r="T79" s="178"/>
      <c r="U79" s="178"/>
    </row>
    <row r="80" spans="1:21" s="41" customFormat="1">
      <c r="A80" s="178"/>
      <c r="B80" s="178"/>
      <c r="C80" s="178"/>
      <c r="N80" s="178"/>
      <c r="O80" s="178"/>
      <c r="P80" s="178"/>
      <c r="Q80" s="178"/>
      <c r="R80" s="178"/>
      <c r="S80" s="178"/>
      <c r="T80" s="178"/>
      <c r="U80" s="178"/>
    </row>
    <row r="81" spans="1:21" s="41" customFormat="1">
      <c r="A81" s="178"/>
      <c r="B81" s="178"/>
      <c r="C81" s="178"/>
      <c r="N81" s="178"/>
      <c r="O81" s="178"/>
      <c r="P81" s="178"/>
      <c r="Q81" s="178"/>
      <c r="R81" s="178"/>
      <c r="S81" s="178"/>
      <c r="T81" s="178"/>
      <c r="U81" s="178"/>
    </row>
    <row r="82" spans="1:21" s="41" customFormat="1">
      <c r="A82" s="178"/>
      <c r="B82" s="178"/>
      <c r="C82" s="178"/>
      <c r="N82" s="178"/>
      <c r="O82" s="178"/>
      <c r="P82" s="178"/>
      <c r="Q82" s="178"/>
      <c r="R82" s="178"/>
      <c r="S82" s="178"/>
      <c r="T82" s="178"/>
      <c r="U82" s="178"/>
    </row>
    <row r="83" spans="1:21" s="41" customFormat="1">
      <c r="A83" s="178"/>
      <c r="B83" s="178"/>
      <c r="C83" s="178"/>
      <c r="N83" s="178"/>
      <c r="O83" s="178"/>
      <c r="P83" s="178"/>
      <c r="Q83" s="178"/>
      <c r="R83" s="178"/>
      <c r="S83" s="178"/>
      <c r="T83" s="178"/>
      <c r="U83" s="178"/>
    </row>
    <row r="84" spans="1:21" s="41" customFormat="1">
      <c r="A84" s="178"/>
      <c r="B84" s="178"/>
      <c r="C84" s="178"/>
      <c r="N84" s="178"/>
      <c r="O84" s="178"/>
      <c r="P84" s="178"/>
      <c r="Q84" s="178"/>
      <c r="R84" s="178"/>
      <c r="S84" s="178"/>
      <c r="T84" s="178"/>
      <c r="U84" s="178"/>
    </row>
    <row r="85" spans="1:21" s="41" customFormat="1">
      <c r="A85" s="178"/>
      <c r="B85" s="178"/>
      <c r="C85" s="178"/>
      <c r="N85" s="178"/>
      <c r="O85" s="178"/>
      <c r="P85" s="178"/>
      <c r="Q85" s="178"/>
      <c r="R85" s="178"/>
      <c r="S85" s="178"/>
      <c r="T85" s="178"/>
      <c r="U85" s="178"/>
    </row>
    <row r="86" spans="1:21" s="41" customFormat="1">
      <c r="A86" s="178"/>
      <c r="B86" s="178"/>
      <c r="C86" s="178"/>
      <c r="N86" s="178"/>
      <c r="O86" s="178"/>
      <c r="P86" s="178"/>
      <c r="Q86" s="178"/>
      <c r="R86" s="178"/>
      <c r="S86" s="178"/>
      <c r="T86" s="178"/>
      <c r="U86" s="178"/>
    </row>
    <row r="87" spans="1:21" s="41" customFormat="1">
      <c r="A87" s="178"/>
      <c r="B87" s="178"/>
      <c r="C87" s="178"/>
      <c r="N87" s="178"/>
      <c r="O87" s="178"/>
      <c r="P87" s="178"/>
      <c r="Q87" s="178"/>
      <c r="R87" s="178"/>
      <c r="S87" s="178"/>
      <c r="T87" s="178"/>
      <c r="U87" s="178"/>
    </row>
  </sheetData>
  <sheetProtection selectLockedCells="1"/>
  <mergeCells count="6">
    <mergeCell ref="C1:N1"/>
    <mergeCell ref="D2:M2"/>
    <mergeCell ref="D16:M16"/>
    <mergeCell ref="D3:M3"/>
    <mergeCell ref="D7:M7"/>
    <mergeCell ref="D5:M5"/>
  </mergeCells>
  <phoneticPr fontId="4" type="noConversion"/>
  <printOptions horizontalCentered="1" verticalCentered="1"/>
  <pageMargins left="0.47244094488188981" right="0.27559055118110237" top="0.51181102362204722" bottom="0.59055118110236227" header="0" footer="0"/>
  <pageSetup paperSize="9" scale="8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00B050"/>
  </sheetPr>
  <dimension ref="A1:E51"/>
  <sheetViews>
    <sheetView topLeftCell="A19" workbookViewId="0">
      <selection activeCell="B23" sqref="B23:E23"/>
    </sheetView>
  </sheetViews>
  <sheetFormatPr baseColWidth="10" defaultColWidth="11.42578125" defaultRowHeight="12.75"/>
  <cols>
    <col min="1" max="1" width="41.42578125" style="1" customWidth="1"/>
    <col min="2" max="2" width="11.42578125" style="1"/>
    <col min="3" max="3" width="49.85546875" style="1" customWidth="1"/>
    <col min="4" max="4" width="30.42578125" style="1" customWidth="1"/>
    <col min="5" max="5" width="42.5703125" style="1" customWidth="1"/>
    <col min="6" max="16384" width="11.42578125" style="1"/>
  </cols>
  <sheetData>
    <row r="1" spans="1:5" ht="33" customHeight="1">
      <c r="A1" s="597" t="s">
        <v>75</v>
      </c>
      <c r="B1" s="597"/>
      <c r="C1" s="597"/>
      <c r="D1" s="597"/>
      <c r="E1" s="597"/>
    </row>
    <row r="18" spans="1:5" s="2" customFormat="1" ht="9" customHeight="1"/>
    <row r="19" spans="1:5" s="2" customFormat="1" ht="4.5" customHeight="1">
      <c r="A19" s="61"/>
      <c r="B19" s="51"/>
      <c r="C19" s="51"/>
      <c r="D19" s="51"/>
      <c r="E19" s="51"/>
    </row>
    <row r="20" spans="1:5" s="269" customFormat="1" ht="18">
      <c r="A20" s="268" t="s">
        <v>14</v>
      </c>
    </row>
    <row r="21" spans="1:5" s="2" customFormat="1" ht="6" customHeight="1">
      <c r="A21" s="61"/>
      <c r="B21" s="51"/>
      <c r="C21" s="51"/>
      <c r="D21" s="51"/>
      <c r="E21" s="51"/>
    </row>
    <row r="22" spans="1:5" ht="41.25" customHeight="1">
      <c r="A22" s="270" t="s">
        <v>68</v>
      </c>
      <c r="B22" s="591" t="s">
        <v>215</v>
      </c>
      <c r="C22" s="594"/>
      <c r="D22" s="594"/>
      <c r="E22" s="595"/>
    </row>
    <row r="23" spans="1:5" ht="102.75" customHeight="1">
      <c r="A23" s="270" t="s">
        <v>69</v>
      </c>
      <c r="B23" s="591" t="s">
        <v>259</v>
      </c>
      <c r="C23" s="592"/>
      <c r="D23" s="592"/>
      <c r="E23" s="593"/>
    </row>
    <row r="24" spans="1:5" ht="33" customHeight="1">
      <c r="A24" s="270" t="s">
        <v>90</v>
      </c>
      <c r="B24" s="591" t="s">
        <v>241</v>
      </c>
      <c r="C24" s="592"/>
      <c r="D24" s="592"/>
      <c r="E24" s="593"/>
    </row>
    <row r="25" spans="1:5" ht="43.5" customHeight="1">
      <c r="A25" s="270" t="s">
        <v>216</v>
      </c>
      <c r="B25" s="594" t="s">
        <v>217</v>
      </c>
      <c r="C25" s="594"/>
      <c r="D25" s="594"/>
      <c r="E25" s="595"/>
    </row>
    <row r="26" spans="1:5" ht="37.5" customHeight="1">
      <c r="A26" s="270" t="s">
        <v>77</v>
      </c>
      <c r="B26" s="591" t="s">
        <v>218</v>
      </c>
      <c r="C26" s="594"/>
      <c r="D26" s="594"/>
      <c r="E26" s="595"/>
    </row>
    <row r="27" spans="1:5" ht="54" customHeight="1">
      <c r="A27" s="270" t="s">
        <v>219</v>
      </c>
      <c r="B27" s="591" t="s">
        <v>220</v>
      </c>
      <c r="C27" s="591"/>
      <c r="D27" s="591"/>
      <c r="E27" s="596"/>
    </row>
    <row r="28" spans="1:5" ht="41.25" customHeight="1">
      <c r="A28" s="270" t="s">
        <v>221</v>
      </c>
      <c r="B28" s="591" t="s">
        <v>222</v>
      </c>
      <c r="C28" s="592"/>
      <c r="D28" s="592"/>
      <c r="E28" s="593"/>
    </row>
    <row r="29" spans="1:5" s="45" customFormat="1" ht="30" customHeight="1">
      <c r="A29" s="270" t="s">
        <v>180</v>
      </c>
      <c r="B29" s="591" t="s">
        <v>223</v>
      </c>
      <c r="C29" s="592"/>
      <c r="D29" s="592"/>
      <c r="E29" s="593"/>
    </row>
    <row r="30" spans="1:5" s="45" customFormat="1" ht="54.75" customHeight="1">
      <c r="A30" s="270" t="s">
        <v>181</v>
      </c>
      <c r="B30" s="591" t="s">
        <v>224</v>
      </c>
      <c r="C30" s="592"/>
      <c r="D30" s="592"/>
      <c r="E30" s="593"/>
    </row>
    <row r="31" spans="1:5" s="45" customFormat="1" ht="62.25" customHeight="1">
      <c r="A31" s="270" t="s">
        <v>70</v>
      </c>
      <c r="B31" s="591" t="s">
        <v>225</v>
      </c>
      <c r="C31" s="592"/>
      <c r="D31" s="592"/>
      <c r="E31" s="593"/>
    </row>
    <row r="32" spans="1:5" s="45" customFormat="1" ht="42.75" customHeight="1">
      <c r="A32" s="270" t="s">
        <v>248</v>
      </c>
      <c r="B32" s="591" t="s">
        <v>126</v>
      </c>
      <c r="C32" s="592"/>
      <c r="D32" s="592"/>
      <c r="E32" s="593"/>
    </row>
    <row r="33" spans="1:5" s="45" customFormat="1" ht="30" customHeight="1">
      <c r="A33" s="270" t="s">
        <v>257</v>
      </c>
      <c r="B33" s="591" t="s">
        <v>119</v>
      </c>
      <c r="C33" s="592"/>
      <c r="D33" s="592"/>
      <c r="E33" s="593"/>
    </row>
    <row r="34" spans="1:5" s="45" customFormat="1" ht="30" customHeight="1">
      <c r="A34" s="270" t="s">
        <v>256</v>
      </c>
      <c r="B34" s="591" t="s">
        <v>226</v>
      </c>
      <c r="C34" s="592"/>
      <c r="D34" s="592"/>
      <c r="E34" s="593"/>
    </row>
    <row r="35" spans="1:5" s="45" customFormat="1" ht="51" customHeight="1">
      <c r="A35" s="270" t="s">
        <v>249</v>
      </c>
      <c r="B35" s="591" t="s">
        <v>227</v>
      </c>
      <c r="C35" s="592"/>
      <c r="D35" s="592"/>
      <c r="E35" s="593"/>
    </row>
    <row r="36" spans="1:5" s="45" customFormat="1" ht="24.75" customHeight="1">
      <c r="A36" s="270" t="s">
        <v>250</v>
      </c>
      <c r="B36" s="591" t="s">
        <v>228</v>
      </c>
      <c r="C36" s="592"/>
      <c r="D36" s="592"/>
      <c r="E36" s="593"/>
    </row>
    <row r="37" spans="1:5" s="45" customFormat="1" ht="26.25" customHeight="1">
      <c r="A37" s="270" t="s">
        <v>251</v>
      </c>
      <c r="B37" s="591" t="s">
        <v>229</v>
      </c>
      <c r="C37" s="592"/>
      <c r="D37" s="592"/>
      <c r="E37" s="593"/>
    </row>
    <row r="38" spans="1:5" s="45" customFormat="1" ht="30" customHeight="1">
      <c r="A38" s="270" t="s">
        <v>252</v>
      </c>
      <c r="B38" s="591" t="s">
        <v>230</v>
      </c>
      <c r="C38" s="592"/>
      <c r="D38" s="592"/>
      <c r="E38" s="593"/>
    </row>
    <row r="39" spans="1:5" s="45" customFormat="1" ht="31.5" customHeight="1">
      <c r="A39" s="270" t="s">
        <v>253</v>
      </c>
      <c r="B39" s="591" t="s">
        <v>231</v>
      </c>
      <c r="C39" s="592"/>
      <c r="D39" s="592"/>
      <c r="E39" s="593"/>
    </row>
    <row r="40" spans="1:5" s="45" customFormat="1" ht="44.25" customHeight="1">
      <c r="A40" s="270" t="s">
        <v>254</v>
      </c>
      <c r="B40" s="591" t="s">
        <v>232</v>
      </c>
      <c r="C40" s="592"/>
      <c r="D40" s="592"/>
      <c r="E40" s="593"/>
    </row>
    <row r="41" spans="1:5" s="45" customFormat="1" ht="42.75" customHeight="1">
      <c r="A41" s="270" t="s">
        <v>255</v>
      </c>
      <c r="B41" s="591" t="s">
        <v>233</v>
      </c>
      <c r="C41" s="592"/>
      <c r="D41" s="592"/>
      <c r="E41" s="593"/>
    </row>
    <row r="42" spans="1:5" s="45" customFormat="1" ht="33.75" customHeight="1">
      <c r="A42" s="270" t="s">
        <v>242</v>
      </c>
      <c r="B42" s="591" t="s">
        <v>234</v>
      </c>
      <c r="C42" s="592"/>
      <c r="D42" s="592"/>
      <c r="E42" s="593"/>
    </row>
    <row r="43" spans="1:5" ht="42" customHeight="1">
      <c r="A43" s="270" t="s">
        <v>243</v>
      </c>
      <c r="B43" s="591" t="s">
        <v>235</v>
      </c>
      <c r="C43" s="592"/>
      <c r="D43" s="592"/>
      <c r="E43" s="593"/>
    </row>
    <row r="44" spans="1:5" ht="31.5" customHeight="1">
      <c r="A44" s="270" t="s">
        <v>244</v>
      </c>
      <c r="B44" s="591" t="s">
        <v>236</v>
      </c>
      <c r="C44" s="592"/>
      <c r="D44" s="592"/>
      <c r="E44" s="593"/>
    </row>
    <row r="45" spans="1:5" ht="22.5" customHeight="1">
      <c r="A45" s="270" t="s">
        <v>260</v>
      </c>
      <c r="B45" s="591" t="s">
        <v>237</v>
      </c>
      <c r="C45" s="592"/>
      <c r="D45" s="592"/>
      <c r="E45" s="593"/>
    </row>
    <row r="46" spans="1:5" ht="24.75" customHeight="1">
      <c r="A46" s="270" t="s">
        <v>245</v>
      </c>
      <c r="B46" s="591" t="s">
        <v>238</v>
      </c>
      <c r="C46" s="592"/>
      <c r="D46" s="592"/>
      <c r="E46" s="593"/>
    </row>
    <row r="47" spans="1:5" ht="71.25" customHeight="1">
      <c r="A47" s="270" t="s">
        <v>94</v>
      </c>
      <c r="B47" s="591" t="s">
        <v>261</v>
      </c>
      <c r="C47" s="592"/>
      <c r="D47" s="592"/>
      <c r="E47" s="593"/>
    </row>
    <row r="48" spans="1:5" ht="51" customHeight="1">
      <c r="A48" s="270" t="s">
        <v>95</v>
      </c>
      <c r="B48" s="591" t="s">
        <v>262</v>
      </c>
      <c r="C48" s="592"/>
      <c r="D48" s="592"/>
      <c r="E48" s="593"/>
    </row>
    <row r="49" spans="1:5" ht="48.75" customHeight="1">
      <c r="A49" s="270" t="s">
        <v>258</v>
      </c>
      <c r="B49" s="591" t="s">
        <v>263</v>
      </c>
      <c r="C49" s="592"/>
      <c r="D49" s="592"/>
      <c r="E49" s="593"/>
    </row>
    <row r="50" spans="1:5" ht="50.25" customHeight="1">
      <c r="A50" s="270" t="s">
        <v>246</v>
      </c>
      <c r="B50" s="591" t="s">
        <v>239</v>
      </c>
      <c r="C50" s="592"/>
      <c r="D50" s="592"/>
      <c r="E50" s="593"/>
    </row>
    <row r="51" spans="1:5" ht="47.25" customHeight="1">
      <c r="A51" s="270" t="s">
        <v>247</v>
      </c>
      <c r="B51" s="591" t="s">
        <v>240</v>
      </c>
      <c r="C51" s="592"/>
      <c r="D51" s="592"/>
      <c r="E51" s="593"/>
    </row>
  </sheetData>
  <sheetProtection selectLockedCells="1" selectUnlockedCells="1"/>
  <mergeCells count="31">
    <mergeCell ref="B22:E22"/>
    <mergeCell ref="B25:E25"/>
    <mergeCell ref="B26:E26"/>
    <mergeCell ref="B27:E27"/>
    <mergeCell ref="A1:E1"/>
    <mergeCell ref="B28:E28"/>
    <mergeCell ref="B23:E23"/>
    <mergeCell ref="B24:E24"/>
    <mergeCell ref="B33:E33"/>
    <mergeCell ref="B34:E34"/>
    <mergeCell ref="B35:E35"/>
    <mergeCell ref="B36:E36"/>
    <mergeCell ref="B29:E29"/>
    <mergeCell ref="B30:E30"/>
    <mergeCell ref="B31:E31"/>
    <mergeCell ref="B32:E32"/>
    <mergeCell ref="B37:E37"/>
    <mergeCell ref="B38:E38"/>
    <mergeCell ref="B39:E39"/>
    <mergeCell ref="B40:E40"/>
    <mergeCell ref="B41:E41"/>
    <mergeCell ref="B42:E42"/>
    <mergeCell ref="B45:E45"/>
    <mergeCell ref="B43:E43"/>
    <mergeCell ref="B44:E44"/>
    <mergeCell ref="B46:E46"/>
    <mergeCell ref="B50:E50"/>
    <mergeCell ref="B51:E51"/>
    <mergeCell ref="B47:E47"/>
    <mergeCell ref="B48:E48"/>
    <mergeCell ref="B49:E49"/>
  </mergeCells>
  <phoneticPr fontId="4" type="noConversion"/>
  <printOptions horizontalCentered="1" verticalCentered="1"/>
  <pageMargins left="0.59055118110236227" right="0.35433070866141736" top="0.31496062992125984" bottom="0.27559055118110237" header="0" footer="0"/>
  <pageSetup paperSize="9" scale="93" orientation="landscape" r:id="rId1"/>
  <headerFooter alignWithMargins="0"/>
  <rowBreaks count="1" manualBreakCount="1">
    <brk id="1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00B050"/>
  </sheetPr>
  <dimension ref="A1:CN44"/>
  <sheetViews>
    <sheetView workbookViewId="0">
      <selection activeCell="C8" sqref="C8:D8"/>
    </sheetView>
  </sheetViews>
  <sheetFormatPr baseColWidth="10" defaultColWidth="9.140625" defaultRowHeight="12.75"/>
  <cols>
    <col min="1" max="1" width="17" style="7" customWidth="1"/>
    <col min="2" max="2" width="10.85546875" style="7" customWidth="1"/>
    <col min="3" max="3" width="6.28515625" style="7" customWidth="1"/>
    <col min="4" max="4" width="88.42578125" style="7" customWidth="1"/>
    <col min="5" max="5" width="7" style="9" customWidth="1"/>
    <col min="6" max="6" width="7.140625" style="9" hidden="1" customWidth="1"/>
    <col min="7" max="7" width="24.7109375" style="36" hidden="1" customWidth="1"/>
    <col min="8" max="8" width="10.42578125" style="9" hidden="1" customWidth="1"/>
    <col min="9" max="9" width="16.42578125" style="9" hidden="1" customWidth="1"/>
    <col min="10" max="10" width="0" style="7" hidden="1" customWidth="1"/>
    <col min="11" max="16384" width="9.140625" style="7"/>
  </cols>
  <sheetData>
    <row r="1" spans="1:92" s="196" customFormat="1" ht="22.5" customHeight="1">
      <c r="A1" s="598" t="s">
        <v>156</v>
      </c>
      <c r="B1" s="599"/>
      <c r="C1" s="599"/>
      <c r="D1" s="599"/>
      <c r="E1" s="599"/>
      <c r="F1" s="193"/>
      <c r="G1" s="194"/>
      <c r="H1" s="195"/>
      <c r="I1" s="193"/>
    </row>
    <row r="2" spans="1:92" s="189" customFormat="1" ht="15" customHeight="1">
      <c r="A2" s="186" t="s">
        <v>25</v>
      </c>
      <c r="B2" s="187"/>
      <c r="C2" s="187"/>
      <c r="D2" s="188"/>
      <c r="E2" s="188"/>
      <c r="F2" s="188"/>
      <c r="G2" s="188"/>
      <c r="H2" s="188"/>
      <c r="I2" s="188"/>
      <c r="J2" s="188"/>
      <c r="K2" s="188"/>
      <c r="L2" s="188"/>
      <c r="M2" s="188"/>
      <c r="N2" s="188"/>
      <c r="O2" s="188"/>
      <c r="P2" s="188"/>
      <c r="Q2" s="188"/>
      <c r="R2" s="188"/>
    </row>
    <row r="3" spans="1:92" s="6" customFormat="1" ht="9" customHeight="1" thickBot="1">
      <c r="A3" s="5"/>
      <c r="B3" s="5"/>
      <c r="C3" s="5"/>
      <c r="D3" s="5"/>
      <c r="E3" s="10"/>
      <c r="F3" s="10"/>
      <c r="G3" s="5"/>
      <c r="H3" s="10"/>
      <c r="I3" s="11"/>
    </row>
    <row r="4" spans="1:92" s="4" customFormat="1" ht="18.75" customHeight="1" thickBot="1">
      <c r="A4" s="606" t="s">
        <v>79</v>
      </c>
      <c r="B4" s="607"/>
      <c r="C4" s="608" t="s">
        <v>86</v>
      </c>
      <c r="D4" s="609"/>
      <c r="E4" s="10"/>
      <c r="F4" s="10"/>
      <c r="G4" s="5"/>
      <c r="H4" s="10"/>
      <c r="I4" s="11" t="s">
        <v>80</v>
      </c>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row>
    <row r="5" spans="1:92" s="6" customFormat="1" ht="9" customHeight="1" thickBot="1">
      <c r="A5" s="5"/>
      <c r="B5" s="5"/>
      <c r="C5" s="5"/>
      <c r="D5" s="5"/>
      <c r="E5" s="10"/>
      <c r="F5" s="10"/>
      <c r="G5" s="5"/>
      <c r="H5" s="10"/>
      <c r="I5" s="11"/>
    </row>
    <row r="6" spans="1:92" s="4" customFormat="1" ht="18.75" customHeight="1" thickBot="1">
      <c r="A6" s="606" t="s">
        <v>545</v>
      </c>
      <c r="B6" s="607"/>
      <c r="C6" s="608" t="s">
        <v>431</v>
      </c>
      <c r="D6" s="609"/>
      <c r="E6" s="10"/>
      <c r="F6" s="10"/>
      <c r="G6" s="5"/>
      <c r="H6" s="10"/>
      <c r="I6" s="11" t="s">
        <v>80</v>
      </c>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row>
    <row r="7" spans="1:92" s="6" customFormat="1" ht="9" customHeight="1" thickBot="1">
      <c r="A7" s="5"/>
      <c r="B7" s="5"/>
      <c r="C7" s="5"/>
      <c r="D7" s="5"/>
      <c r="E7" s="10"/>
      <c r="F7" s="10"/>
      <c r="G7" s="5"/>
      <c r="H7" s="10"/>
      <c r="I7" s="11"/>
    </row>
    <row r="8" spans="1:92" s="4" customFormat="1" ht="18.75" customHeight="1" thickBot="1">
      <c r="A8" s="606" t="s">
        <v>130</v>
      </c>
      <c r="B8" s="607"/>
      <c r="C8" s="608" t="s">
        <v>135</v>
      </c>
      <c r="D8" s="609"/>
      <c r="E8" s="10"/>
      <c r="F8" s="10"/>
      <c r="G8" s="5"/>
      <c r="H8" s="10"/>
      <c r="I8" s="11"/>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row>
    <row r="9" spans="1:92" ht="9" customHeight="1">
      <c r="I9" s="9" t="s">
        <v>81</v>
      </c>
    </row>
    <row r="10" spans="1:92" s="192" customFormat="1" ht="19.5" customHeight="1">
      <c r="A10" s="190" t="s">
        <v>78</v>
      </c>
      <c r="B10" s="191"/>
      <c r="C10" s="191"/>
      <c r="D10" s="190"/>
      <c r="E10" s="190"/>
    </row>
    <row r="11" spans="1:92" ht="12.75" customHeight="1" thickBot="1">
      <c r="A11" s="8"/>
      <c r="B11" s="8"/>
      <c r="C11" s="8"/>
      <c r="D11" s="8"/>
      <c r="G11" s="44" t="s">
        <v>121</v>
      </c>
      <c r="I11" s="44" t="s">
        <v>121</v>
      </c>
    </row>
    <row r="12" spans="1:92" ht="23.25" customHeight="1">
      <c r="B12" s="46" t="s">
        <v>19</v>
      </c>
      <c r="C12" s="602"/>
      <c r="D12" s="603"/>
      <c r="G12" s="37" t="s">
        <v>85</v>
      </c>
      <c r="I12" s="36" t="s">
        <v>131</v>
      </c>
    </row>
    <row r="13" spans="1:92" ht="23.25" customHeight="1">
      <c r="B13" s="46" t="s">
        <v>21</v>
      </c>
      <c r="C13" s="604"/>
      <c r="D13" s="605"/>
      <c r="G13" s="36" t="s">
        <v>80</v>
      </c>
      <c r="I13" s="36" t="s">
        <v>132</v>
      </c>
    </row>
    <row r="14" spans="1:92" ht="23.25" customHeight="1">
      <c r="B14" s="46" t="s">
        <v>22</v>
      </c>
      <c r="C14" s="604"/>
      <c r="D14" s="605"/>
      <c r="G14" s="36" t="s">
        <v>81</v>
      </c>
      <c r="I14" s="36" t="s">
        <v>133</v>
      </c>
    </row>
    <row r="15" spans="1:92" ht="23.25" customHeight="1" thickBot="1">
      <c r="B15" s="46" t="s">
        <v>24</v>
      </c>
      <c r="C15" s="600"/>
      <c r="D15" s="601"/>
      <c r="G15" s="36" t="s">
        <v>82</v>
      </c>
      <c r="I15" s="36" t="s">
        <v>134</v>
      </c>
    </row>
    <row r="16" spans="1:92" ht="12.75" customHeight="1">
      <c r="A16" s="8"/>
      <c r="B16" s="8"/>
      <c r="C16" s="8"/>
      <c r="D16" s="8"/>
      <c r="G16" s="36" t="s">
        <v>84</v>
      </c>
      <c r="I16" s="36" t="s">
        <v>135</v>
      </c>
    </row>
    <row r="17" spans="1:18" s="192" customFormat="1" ht="19.5" customHeight="1">
      <c r="A17" s="190" t="s">
        <v>23</v>
      </c>
      <c r="B17" s="191"/>
      <c r="C17" s="191"/>
      <c r="D17" s="191"/>
      <c r="E17" s="191"/>
      <c r="G17" s="192" t="s">
        <v>86</v>
      </c>
      <c r="I17" s="192" t="s">
        <v>136</v>
      </c>
    </row>
    <row r="18" spans="1:18" ht="12.75" customHeight="1" thickBot="1">
      <c r="A18" s="8"/>
      <c r="B18" s="8"/>
      <c r="C18" s="8"/>
      <c r="D18" s="8"/>
      <c r="G18" s="36" t="s">
        <v>88</v>
      </c>
    </row>
    <row r="19" spans="1:18" ht="23.25" customHeight="1">
      <c r="B19" s="46" t="s">
        <v>19</v>
      </c>
      <c r="C19" s="602"/>
      <c r="D19" s="603"/>
      <c r="G19" s="36" t="s">
        <v>87</v>
      </c>
    </row>
    <row r="20" spans="1:18" ht="23.25" customHeight="1">
      <c r="B20" s="46" t="s">
        <v>20</v>
      </c>
      <c r="C20" s="604"/>
      <c r="D20" s="605"/>
      <c r="G20" s="36" t="s">
        <v>83</v>
      </c>
    </row>
    <row r="21" spans="1:18" ht="23.25" customHeight="1">
      <c r="B21" s="46" t="s">
        <v>21</v>
      </c>
      <c r="C21" s="604"/>
      <c r="D21" s="605"/>
      <c r="G21" s="36" t="s">
        <v>89</v>
      </c>
    </row>
    <row r="22" spans="1:18" ht="23.25" customHeight="1" thickBot="1">
      <c r="B22" s="46" t="s">
        <v>22</v>
      </c>
      <c r="C22" s="600"/>
      <c r="D22" s="601"/>
      <c r="G22" s="36" t="s">
        <v>281</v>
      </c>
    </row>
    <row r="23" spans="1:18" ht="12.75" customHeight="1">
      <c r="A23" s="8"/>
      <c r="B23" s="8"/>
      <c r="C23" s="8"/>
      <c r="D23" s="8"/>
    </row>
    <row r="24" spans="1:18" s="192" customFormat="1" ht="19.5" customHeight="1">
      <c r="A24" s="190" t="s">
        <v>34</v>
      </c>
      <c r="B24" s="191"/>
      <c r="C24" s="191"/>
      <c r="D24" s="191"/>
      <c r="E24" s="191"/>
    </row>
    <row r="25" spans="1:18" s="200" customFormat="1" ht="15" customHeight="1">
      <c r="A25" s="198" t="s">
        <v>42</v>
      </c>
      <c r="B25" s="199"/>
      <c r="C25" s="199"/>
      <c r="D25" s="197"/>
      <c r="E25" s="197"/>
      <c r="F25" s="197"/>
      <c r="G25" s="197"/>
      <c r="H25" s="197"/>
      <c r="I25" s="197"/>
      <c r="J25" s="197"/>
      <c r="K25" s="197"/>
      <c r="L25" s="197"/>
      <c r="M25" s="197"/>
      <c r="N25" s="197"/>
      <c r="O25" s="197"/>
      <c r="P25" s="197"/>
      <c r="Q25" s="197"/>
      <c r="R25" s="197"/>
    </row>
    <row r="26" spans="1:18" ht="12.75" customHeight="1" thickBot="1"/>
    <row r="27" spans="1:18" ht="21" customHeight="1">
      <c r="A27" s="47" t="s">
        <v>120</v>
      </c>
      <c r="B27" s="48"/>
      <c r="C27" s="13" t="s">
        <v>406</v>
      </c>
    </row>
    <row r="28" spans="1:18" ht="21" customHeight="1">
      <c r="A28" s="47" t="s">
        <v>35</v>
      </c>
      <c r="B28" s="48"/>
      <c r="C28" s="14"/>
    </row>
    <row r="29" spans="1:18" ht="21" customHeight="1">
      <c r="A29" s="47" t="s">
        <v>36</v>
      </c>
      <c r="B29" s="48"/>
      <c r="C29" s="14"/>
    </row>
    <row r="30" spans="1:18" ht="21" customHeight="1">
      <c r="A30" s="47" t="s">
        <v>37</v>
      </c>
      <c r="B30" s="49" t="s">
        <v>38</v>
      </c>
      <c r="C30" s="14"/>
    </row>
    <row r="31" spans="1:18" ht="21" customHeight="1">
      <c r="A31" s="50"/>
      <c r="B31" s="49" t="s">
        <v>39</v>
      </c>
      <c r="C31" s="14"/>
    </row>
    <row r="32" spans="1:18" ht="21" customHeight="1" thickBot="1">
      <c r="A32" s="50"/>
      <c r="B32" s="49" t="s">
        <v>40</v>
      </c>
      <c r="C32" s="14"/>
    </row>
    <row r="33" spans="1:4" ht="27.75" customHeight="1" thickBot="1">
      <c r="A33" s="47" t="s">
        <v>41</v>
      </c>
      <c r="B33" s="48"/>
      <c r="C33" s="15"/>
      <c r="D33" s="16"/>
    </row>
    <row r="34" spans="1:4" ht="19.5" customHeight="1"/>
    <row r="35" spans="1:4" ht="21" customHeight="1"/>
    <row r="36" spans="1:4" ht="21" customHeight="1"/>
    <row r="37" spans="1:4" ht="21" customHeight="1"/>
    <row r="38" spans="1:4" ht="21" customHeight="1"/>
    <row r="39" spans="1:4" ht="4.5" customHeight="1"/>
    <row r="40" spans="1:4" ht="31.5" customHeight="1"/>
    <row r="41" spans="1:4" ht="4.5" customHeight="1"/>
    <row r="42" spans="1:4" ht="30" customHeight="1"/>
    <row r="43" spans="1:4" ht="54" customHeight="1"/>
    <row r="44" spans="1:4" ht="24.75" customHeight="1"/>
  </sheetData>
  <sheetProtection selectLockedCells="1"/>
  <mergeCells count="15">
    <mergeCell ref="A1:E1"/>
    <mergeCell ref="C22:D22"/>
    <mergeCell ref="C12:D12"/>
    <mergeCell ref="C13:D13"/>
    <mergeCell ref="C14:D14"/>
    <mergeCell ref="C15:D15"/>
    <mergeCell ref="C19:D19"/>
    <mergeCell ref="C20:D20"/>
    <mergeCell ref="A8:B8"/>
    <mergeCell ref="C8:D8"/>
    <mergeCell ref="C21:D21"/>
    <mergeCell ref="C4:D4"/>
    <mergeCell ref="A4:B4"/>
    <mergeCell ref="A6:B6"/>
    <mergeCell ref="C6:D6"/>
  </mergeCells>
  <phoneticPr fontId="4" type="noConversion"/>
  <dataValidations count="3">
    <dataValidation type="list" allowBlank="1" showInputMessage="1" showErrorMessage="1" sqref="C7:D7" xr:uid="{00000000-0002-0000-0200-000000000000}">
      <formula1>$G$11:$G$21</formula1>
    </dataValidation>
    <dataValidation type="list" allowBlank="1" showInputMessage="1" showErrorMessage="1" sqref="C8:D8" xr:uid="{00000000-0002-0000-0200-000001000000}">
      <formula1>$I$11:$I$17</formula1>
    </dataValidation>
    <dataValidation type="list" allowBlank="1" showInputMessage="1" showErrorMessage="1" sqref="C4:D5" xr:uid="{00000000-0002-0000-0200-000002000000}">
      <formula1>$G$11:$G$22</formula1>
    </dataValidation>
  </dataValidations>
  <printOptions horizontalCentered="1" verticalCentered="1"/>
  <pageMargins left="0.78740157480314965" right="0.62" top="0.65" bottom="0.59" header="0" footer="0"/>
  <pageSetup paperSize="9" scale="85"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00B050"/>
  </sheetPr>
  <dimension ref="A1:AC94"/>
  <sheetViews>
    <sheetView topLeftCell="A4" workbookViewId="0">
      <selection sqref="A1:M1"/>
    </sheetView>
  </sheetViews>
  <sheetFormatPr baseColWidth="10" defaultColWidth="11.42578125" defaultRowHeight="14.25"/>
  <cols>
    <col min="1" max="1" width="6.42578125" style="371" customWidth="1"/>
    <col min="2" max="2" width="7.85546875" style="362" customWidth="1"/>
    <col min="3" max="3" width="18.42578125" style="363" customWidth="1"/>
    <col min="4" max="4" width="5.5703125" style="368" customWidth="1"/>
    <col min="5" max="5" width="43" style="369" customWidth="1"/>
    <col min="6" max="6" width="40" style="370" customWidth="1"/>
    <col min="7" max="7" width="29.28515625" style="369" customWidth="1"/>
    <col min="8" max="8" width="35.7109375" style="370" bestFit="1" customWidth="1"/>
    <col min="9" max="9" width="4.28515625" style="370" customWidth="1"/>
    <col min="10" max="10" width="9.42578125" style="370" customWidth="1"/>
    <col min="11" max="11" width="13.5703125" style="370" customWidth="1"/>
    <col min="12" max="12" width="4.85546875" style="370" customWidth="1"/>
    <col min="13" max="13" width="8.42578125" style="370" customWidth="1"/>
    <col min="14" max="14" width="5.28515625" style="337" customWidth="1"/>
    <col min="15" max="16" width="11.42578125" style="337"/>
    <col min="17" max="17" width="18.42578125" style="337" customWidth="1"/>
    <col min="18" max="29" width="11.42578125" style="337"/>
    <col min="30" max="16384" width="11.42578125" style="338"/>
  </cols>
  <sheetData>
    <row r="1" spans="1:29" s="315" customFormat="1" ht="18">
      <c r="A1" s="620" t="s">
        <v>13</v>
      </c>
      <c r="B1" s="620"/>
      <c r="C1" s="620"/>
      <c r="D1" s="620"/>
      <c r="E1" s="620"/>
      <c r="F1" s="620"/>
      <c r="G1" s="620"/>
      <c r="H1" s="620"/>
      <c r="I1" s="620"/>
      <c r="J1" s="620"/>
      <c r="K1" s="620"/>
      <c r="L1" s="620"/>
      <c r="M1" s="620"/>
      <c r="N1" s="313"/>
      <c r="O1" s="314"/>
      <c r="P1" s="314"/>
      <c r="Q1" s="314"/>
      <c r="R1" s="314"/>
      <c r="S1" s="314"/>
      <c r="T1" s="314"/>
      <c r="U1" s="314"/>
      <c r="V1" s="314"/>
      <c r="W1" s="314"/>
      <c r="X1" s="314"/>
      <c r="Y1" s="314"/>
      <c r="Z1" s="314"/>
      <c r="AA1" s="314"/>
      <c r="AB1" s="314"/>
      <c r="AC1" s="314"/>
    </row>
    <row r="2" spans="1:29" s="315" customFormat="1" ht="15.75">
      <c r="A2" s="623" t="s">
        <v>146</v>
      </c>
      <c r="B2" s="623"/>
      <c r="C2" s="623"/>
      <c r="D2" s="621" t="s">
        <v>2</v>
      </c>
      <c r="E2" s="621"/>
      <c r="F2" s="621" t="s">
        <v>0</v>
      </c>
      <c r="G2" s="621" t="s">
        <v>1</v>
      </c>
      <c r="H2" s="621" t="s">
        <v>3</v>
      </c>
      <c r="I2" s="625" t="s">
        <v>4</v>
      </c>
      <c r="J2" s="626"/>
      <c r="K2" s="626"/>
      <c r="L2" s="626"/>
      <c r="M2" s="627"/>
      <c r="N2" s="313"/>
      <c r="O2" s="314"/>
      <c r="P2" s="314"/>
      <c r="Q2" s="314"/>
      <c r="R2" s="314"/>
      <c r="S2" s="314"/>
      <c r="T2" s="314"/>
      <c r="U2" s="314"/>
      <c r="V2" s="314"/>
      <c r="W2" s="314"/>
      <c r="X2" s="314"/>
      <c r="Y2" s="314"/>
      <c r="Z2" s="314"/>
      <c r="AA2" s="314"/>
      <c r="AB2" s="314"/>
      <c r="AC2" s="314"/>
    </row>
    <row r="3" spans="1:29" s="315" customFormat="1" ht="12.75">
      <c r="A3" s="624"/>
      <c r="B3" s="623"/>
      <c r="C3" s="623"/>
      <c r="D3" s="621"/>
      <c r="E3" s="621"/>
      <c r="F3" s="621"/>
      <c r="G3" s="621"/>
      <c r="H3" s="621"/>
      <c r="I3" s="622" t="s">
        <v>5</v>
      </c>
      <c r="J3" s="622"/>
      <c r="K3" s="316" t="s">
        <v>6</v>
      </c>
      <c r="L3" s="622" t="s">
        <v>7</v>
      </c>
      <c r="M3" s="622"/>
      <c r="N3" s="313"/>
      <c r="O3" s="314"/>
      <c r="P3" s="314"/>
      <c r="Q3" s="314"/>
      <c r="R3" s="314"/>
      <c r="S3" s="314"/>
      <c r="T3" s="314"/>
      <c r="U3" s="314"/>
      <c r="V3" s="314"/>
      <c r="W3" s="314"/>
      <c r="X3" s="314"/>
      <c r="Y3" s="314"/>
      <c r="Z3" s="314"/>
      <c r="AA3" s="314"/>
      <c r="AB3" s="314"/>
      <c r="AC3" s="314"/>
    </row>
    <row r="4" spans="1:29" s="315" customFormat="1" ht="32.25" customHeight="1">
      <c r="A4" s="610" t="s">
        <v>145</v>
      </c>
      <c r="B4" s="614" t="s">
        <v>339</v>
      </c>
      <c r="C4" s="613" t="s">
        <v>370</v>
      </c>
      <c r="D4" s="319">
        <v>1</v>
      </c>
      <c r="E4" s="320" t="s">
        <v>295</v>
      </c>
      <c r="F4" s="321" t="s">
        <v>296</v>
      </c>
      <c r="G4" s="321" t="s">
        <v>297</v>
      </c>
      <c r="H4" s="321" t="s">
        <v>303</v>
      </c>
      <c r="I4" s="322" t="s">
        <v>306</v>
      </c>
      <c r="J4" s="323">
        <v>0.03</v>
      </c>
      <c r="K4" s="324" t="s">
        <v>307</v>
      </c>
      <c r="L4" s="325" t="s">
        <v>16</v>
      </c>
      <c r="M4" s="326">
        <v>0.05</v>
      </c>
      <c r="N4" s="327"/>
      <c r="O4" s="314"/>
      <c r="P4" s="328"/>
      <c r="Q4" s="329"/>
      <c r="R4" s="330"/>
      <c r="S4" s="331"/>
      <c r="T4" s="332"/>
      <c r="U4" s="314"/>
      <c r="V4" s="314"/>
      <c r="W4" s="314"/>
      <c r="X4" s="314"/>
      <c r="Y4" s="314"/>
      <c r="Z4" s="314"/>
      <c r="AA4" s="314"/>
      <c r="AB4" s="314"/>
      <c r="AC4" s="314"/>
    </row>
    <row r="5" spans="1:29" s="315" customFormat="1" ht="32.25" customHeight="1">
      <c r="A5" s="610"/>
      <c r="B5" s="614"/>
      <c r="C5" s="613"/>
      <c r="D5" s="319">
        <v>2</v>
      </c>
      <c r="E5" s="320" t="s">
        <v>298</v>
      </c>
      <c r="F5" s="321" t="s">
        <v>299</v>
      </c>
      <c r="G5" s="321" t="s">
        <v>300</v>
      </c>
      <c r="H5" s="321" t="s">
        <v>304</v>
      </c>
      <c r="I5" s="322" t="s">
        <v>306</v>
      </c>
      <c r="J5" s="323">
        <v>0.03</v>
      </c>
      <c r="K5" s="324" t="s">
        <v>307</v>
      </c>
      <c r="L5" s="325" t="s">
        <v>16</v>
      </c>
      <c r="M5" s="326">
        <v>0.05</v>
      </c>
      <c r="N5" s="327"/>
      <c r="O5" s="314"/>
      <c r="P5" s="328"/>
      <c r="Q5" s="329"/>
      <c r="R5" s="330"/>
      <c r="S5" s="331"/>
      <c r="T5" s="332"/>
      <c r="U5" s="314"/>
      <c r="V5" s="314"/>
      <c r="W5" s="314"/>
      <c r="X5" s="314"/>
      <c r="Y5" s="314"/>
      <c r="Z5" s="314"/>
      <c r="AA5" s="314"/>
      <c r="AB5" s="314"/>
      <c r="AC5" s="314"/>
    </row>
    <row r="6" spans="1:29" s="315" customFormat="1" ht="32.25" customHeight="1">
      <c r="A6" s="610"/>
      <c r="B6" s="614"/>
      <c r="C6" s="613"/>
      <c r="D6" s="319">
        <v>3</v>
      </c>
      <c r="E6" s="320" t="s">
        <v>365</v>
      </c>
      <c r="F6" s="321" t="s">
        <v>301</v>
      </c>
      <c r="G6" s="321" t="s">
        <v>302</v>
      </c>
      <c r="H6" s="321" t="s">
        <v>305</v>
      </c>
      <c r="I6" s="322" t="s">
        <v>306</v>
      </c>
      <c r="J6" s="323">
        <v>0.03</v>
      </c>
      <c r="K6" s="324" t="s">
        <v>307</v>
      </c>
      <c r="L6" s="325" t="s">
        <v>16</v>
      </c>
      <c r="M6" s="326">
        <v>0.05</v>
      </c>
      <c r="N6" s="327"/>
      <c r="O6" s="314"/>
      <c r="P6" s="328"/>
      <c r="Q6" s="619"/>
      <c r="R6" s="619"/>
      <c r="S6" s="619"/>
      <c r="T6" s="619"/>
      <c r="U6" s="619"/>
      <c r="V6" s="314"/>
      <c r="W6" s="314"/>
      <c r="X6" s="314"/>
      <c r="Y6" s="314"/>
      <c r="Z6" s="314"/>
      <c r="AA6" s="314"/>
      <c r="AB6" s="314"/>
      <c r="AC6" s="314"/>
    </row>
    <row r="7" spans="1:29" ht="28.5">
      <c r="A7" s="610" t="s">
        <v>96</v>
      </c>
      <c r="B7" s="611" t="s">
        <v>326</v>
      </c>
      <c r="C7" s="615" t="s">
        <v>325</v>
      </c>
      <c r="D7" s="319">
        <v>4</v>
      </c>
      <c r="E7" s="320" t="s">
        <v>346</v>
      </c>
      <c r="F7" s="321" t="s">
        <v>483</v>
      </c>
      <c r="G7" s="321" t="s">
        <v>371</v>
      </c>
      <c r="H7" s="321" t="s">
        <v>377</v>
      </c>
      <c r="I7" s="333" t="s">
        <v>308</v>
      </c>
      <c r="J7" s="334">
        <v>0.8</v>
      </c>
      <c r="K7" s="324" t="s">
        <v>333</v>
      </c>
      <c r="L7" s="325" t="s">
        <v>17</v>
      </c>
      <c r="M7" s="335">
        <v>0.5</v>
      </c>
      <c r="N7" s="336"/>
    </row>
    <row r="8" spans="1:29" s="315" customFormat="1" ht="71.25">
      <c r="A8" s="610"/>
      <c r="B8" s="618"/>
      <c r="C8" s="617"/>
      <c r="D8" s="319">
        <v>5</v>
      </c>
      <c r="E8" s="320" t="s">
        <v>347</v>
      </c>
      <c r="F8" s="321" t="s">
        <v>407</v>
      </c>
      <c r="G8" s="321" t="s">
        <v>375</v>
      </c>
      <c r="H8" s="321" t="s">
        <v>396</v>
      </c>
      <c r="I8" s="333" t="s">
        <v>308</v>
      </c>
      <c r="J8" s="334">
        <v>0.8</v>
      </c>
      <c r="K8" s="324" t="s">
        <v>333</v>
      </c>
      <c r="L8" s="325" t="s">
        <v>17</v>
      </c>
      <c r="M8" s="335">
        <v>0.5</v>
      </c>
      <c r="N8" s="336"/>
      <c r="O8" s="314"/>
      <c r="P8" s="339"/>
      <c r="Q8" s="314"/>
      <c r="R8" s="314"/>
      <c r="S8" s="314"/>
      <c r="T8" s="314"/>
      <c r="U8" s="314"/>
      <c r="V8" s="314"/>
      <c r="W8" s="314"/>
      <c r="X8" s="314"/>
      <c r="Y8" s="314"/>
      <c r="Z8" s="314"/>
      <c r="AA8" s="314"/>
      <c r="AB8" s="314"/>
      <c r="AC8" s="314"/>
    </row>
    <row r="9" spans="1:29" s="315" customFormat="1" ht="28.5">
      <c r="A9" s="610"/>
      <c r="B9" s="618"/>
      <c r="C9" s="617"/>
      <c r="D9" s="319">
        <v>6</v>
      </c>
      <c r="E9" s="340" t="s">
        <v>314</v>
      </c>
      <c r="F9" s="321" t="s">
        <v>315</v>
      </c>
      <c r="G9" s="321" t="s">
        <v>372</v>
      </c>
      <c r="H9" s="321" t="s">
        <v>395</v>
      </c>
      <c r="I9" s="333" t="s">
        <v>308</v>
      </c>
      <c r="J9" s="334">
        <v>0.7</v>
      </c>
      <c r="K9" s="324" t="s">
        <v>334</v>
      </c>
      <c r="L9" s="325" t="s">
        <v>17</v>
      </c>
      <c r="M9" s="335">
        <v>0.5</v>
      </c>
      <c r="N9" s="341"/>
      <c r="O9" s="314"/>
      <c r="P9" s="314"/>
      <c r="Q9" s="314"/>
      <c r="R9" s="314"/>
      <c r="S9" s="314"/>
      <c r="T9" s="314"/>
      <c r="U9" s="314"/>
      <c r="V9" s="314"/>
      <c r="W9" s="314"/>
      <c r="X9" s="314"/>
      <c r="Y9" s="314"/>
      <c r="Z9" s="314"/>
      <c r="AA9" s="314"/>
      <c r="AB9" s="314"/>
      <c r="AC9" s="314"/>
    </row>
    <row r="10" spans="1:29" s="315" customFormat="1" ht="42.75">
      <c r="A10" s="610"/>
      <c r="B10" s="618"/>
      <c r="C10" s="617"/>
      <c r="D10" s="319">
        <v>7</v>
      </c>
      <c r="E10" s="320" t="s">
        <v>316</v>
      </c>
      <c r="F10" s="321" t="s">
        <v>375</v>
      </c>
      <c r="G10" s="321" t="s">
        <v>393</v>
      </c>
      <c r="H10" s="321" t="s">
        <v>394</v>
      </c>
      <c r="I10" s="333" t="s">
        <v>308</v>
      </c>
      <c r="J10" s="334">
        <v>0.8</v>
      </c>
      <c r="K10" s="324" t="s">
        <v>335</v>
      </c>
      <c r="L10" s="325" t="s">
        <v>17</v>
      </c>
      <c r="M10" s="335">
        <v>0.7</v>
      </c>
      <c r="N10" s="341"/>
      <c r="O10" s="314"/>
      <c r="P10" s="314"/>
      <c r="Q10" s="314"/>
      <c r="R10" s="314"/>
      <c r="S10" s="314"/>
      <c r="T10" s="314"/>
      <c r="U10" s="314"/>
      <c r="V10" s="314"/>
      <c r="W10" s="314"/>
      <c r="X10" s="314"/>
      <c r="Y10" s="314"/>
      <c r="Z10" s="314"/>
      <c r="AA10" s="314"/>
      <c r="AB10" s="314"/>
      <c r="AC10" s="314"/>
    </row>
    <row r="11" spans="1:29" s="315" customFormat="1" ht="28.5">
      <c r="A11" s="610"/>
      <c r="B11" s="612"/>
      <c r="C11" s="616"/>
      <c r="D11" s="319">
        <v>8</v>
      </c>
      <c r="E11" s="320" t="s">
        <v>348</v>
      </c>
      <c r="F11" s="321" t="s">
        <v>374</v>
      </c>
      <c r="G11" s="321" t="s">
        <v>373</v>
      </c>
      <c r="H11" s="321" t="s">
        <v>376</v>
      </c>
      <c r="I11" s="333" t="s">
        <v>308</v>
      </c>
      <c r="J11" s="334">
        <v>0.8</v>
      </c>
      <c r="K11" s="324" t="s">
        <v>335</v>
      </c>
      <c r="L11" s="325" t="s">
        <v>17</v>
      </c>
      <c r="M11" s="335">
        <v>0.7</v>
      </c>
      <c r="N11" s="341"/>
      <c r="O11" s="314"/>
      <c r="P11" s="314"/>
      <c r="Q11" s="314"/>
      <c r="R11" s="314"/>
      <c r="S11" s="314"/>
      <c r="T11" s="314"/>
      <c r="U11" s="314"/>
      <c r="V11" s="314"/>
      <c r="W11" s="314"/>
      <c r="X11" s="314"/>
      <c r="Y11" s="314"/>
      <c r="Z11" s="314"/>
      <c r="AA11" s="314"/>
      <c r="AB11" s="314"/>
      <c r="AC11" s="314"/>
    </row>
    <row r="12" spans="1:29" s="314" customFormat="1" ht="28.5">
      <c r="A12" s="610"/>
      <c r="B12" s="614" t="s">
        <v>15</v>
      </c>
      <c r="C12" s="613" t="s">
        <v>366</v>
      </c>
      <c r="D12" s="319">
        <v>9</v>
      </c>
      <c r="E12" s="320" t="s">
        <v>349</v>
      </c>
      <c r="F12" s="321" t="s">
        <v>378</v>
      </c>
      <c r="G12" s="321" t="s">
        <v>371</v>
      </c>
      <c r="H12" s="321" t="s">
        <v>377</v>
      </c>
      <c r="I12" s="333" t="s">
        <v>308</v>
      </c>
      <c r="J12" s="334">
        <v>0.95</v>
      </c>
      <c r="K12" s="324" t="s">
        <v>531</v>
      </c>
      <c r="L12" s="325" t="s">
        <v>17</v>
      </c>
      <c r="M12" s="335">
        <v>0.8</v>
      </c>
      <c r="N12" s="341"/>
      <c r="Q12" s="342"/>
    </row>
    <row r="13" spans="1:29" s="315" customFormat="1" ht="57">
      <c r="A13" s="610"/>
      <c r="B13" s="614"/>
      <c r="C13" s="613"/>
      <c r="D13" s="319">
        <v>10</v>
      </c>
      <c r="E13" s="320" t="s">
        <v>350</v>
      </c>
      <c r="F13" s="321" t="s">
        <v>319</v>
      </c>
      <c r="G13" s="321" t="s">
        <v>371</v>
      </c>
      <c r="H13" s="321" t="s">
        <v>377</v>
      </c>
      <c r="I13" s="322" t="s">
        <v>308</v>
      </c>
      <c r="J13" s="334">
        <v>0.95</v>
      </c>
      <c r="K13" s="324" t="s">
        <v>531</v>
      </c>
      <c r="L13" s="325" t="s">
        <v>17</v>
      </c>
      <c r="M13" s="335">
        <v>0.8</v>
      </c>
      <c r="N13" s="341"/>
      <c r="O13" s="314"/>
      <c r="P13" s="314"/>
      <c r="Q13" s="314"/>
      <c r="R13" s="314"/>
      <c r="S13" s="314"/>
      <c r="T13" s="314"/>
      <c r="U13" s="314"/>
      <c r="V13" s="314"/>
      <c r="W13" s="314"/>
      <c r="X13" s="314"/>
      <c r="Y13" s="314"/>
      <c r="Z13" s="314"/>
      <c r="AA13" s="314"/>
      <c r="AB13" s="314"/>
      <c r="AC13" s="314"/>
    </row>
    <row r="14" spans="1:29" s="315" customFormat="1" ht="42.75">
      <c r="A14" s="610"/>
      <c r="B14" s="614"/>
      <c r="C14" s="613"/>
      <c r="D14" s="319">
        <v>11</v>
      </c>
      <c r="E14" s="320" t="s">
        <v>416</v>
      </c>
      <c r="F14" s="321" t="s">
        <v>320</v>
      </c>
      <c r="G14" s="321" t="s">
        <v>379</v>
      </c>
      <c r="H14" s="321" t="s">
        <v>377</v>
      </c>
      <c r="I14" s="322" t="s">
        <v>308</v>
      </c>
      <c r="J14" s="334">
        <v>0.95</v>
      </c>
      <c r="K14" s="324" t="s">
        <v>531</v>
      </c>
      <c r="L14" s="325" t="s">
        <v>17</v>
      </c>
      <c r="M14" s="335">
        <v>0.8</v>
      </c>
      <c r="N14" s="343"/>
      <c r="O14" s="314"/>
      <c r="P14" s="314"/>
      <c r="Q14" s="314"/>
      <c r="R14" s="314"/>
      <c r="S14" s="314"/>
      <c r="T14" s="314"/>
      <c r="U14" s="314"/>
      <c r="V14" s="314"/>
      <c r="W14" s="314"/>
      <c r="X14" s="314"/>
      <c r="Y14" s="314"/>
      <c r="Z14" s="314"/>
      <c r="AA14" s="314"/>
      <c r="AB14" s="314"/>
      <c r="AC14" s="314"/>
    </row>
    <row r="15" spans="1:29" s="315" customFormat="1" ht="28.5">
      <c r="A15" s="610"/>
      <c r="B15" s="614"/>
      <c r="C15" s="613"/>
      <c r="D15" s="319">
        <v>12</v>
      </c>
      <c r="E15" s="320" t="s">
        <v>317</v>
      </c>
      <c r="F15" s="321" t="s">
        <v>318</v>
      </c>
      <c r="G15" s="321" t="s">
        <v>371</v>
      </c>
      <c r="H15" s="321" t="s">
        <v>377</v>
      </c>
      <c r="I15" s="322" t="s">
        <v>308</v>
      </c>
      <c r="J15" s="334">
        <v>0.8</v>
      </c>
      <c r="K15" s="324" t="s">
        <v>333</v>
      </c>
      <c r="L15" s="325" t="s">
        <v>17</v>
      </c>
      <c r="M15" s="335">
        <v>0.5</v>
      </c>
      <c r="N15" s="343"/>
      <c r="O15" s="314"/>
      <c r="P15" s="314"/>
      <c r="Q15" s="344"/>
      <c r="R15" s="314"/>
      <c r="S15" s="314"/>
      <c r="T15" s="314"/>
      <c r="U15" s="314"/>
      <c r="V15" s="314"/>
      <c r="W15" s="314"/>
      <c r="X15" s="314"/>
      <c r="Y15" s="314"/>
      <c r="Z15" s="314"/>
      <c r="AA15" s="314"/>
      <c r="AB15" s="314"/>
      <c r="AC15" s="314"/>
    </row>
    <row r="16" spans="1:29" s="315" customFormat="1" ht="38.25">
      <c r="A16" s="610"/>
      <c r="B16" s="614"/>
      <c r="C16" s="613"/>
      <c r="D16" s="319">
        <v>13</v>
      </c>
      <c r="E16" s="320" t="s">
        <v>351</v>
      </c>
      <c r="F16" s="321" t="s">
        <v>380</v>
      </c>
      <c r="G16" s="321" t="s">
        <v>381</v>
      </c>
      <c r="H16" s="321" t="s">
        <v>76</v>
      </c>
      <c r="I16" s="322" t="s">
        <v>308</v>
      </c>
      <c r="J16" s="334">
        <v>0.8</v>
      </c>
      <c r="K16" s="324" t="s">
        <v>333</v>
      </c>
      <c r="L16" s="325" t="s">
        <v>17</v>
      </c>
      <c r="M16" s="335">
        <v>0.5</v>
      </c>
      <c r="N16" s="343"/>
      <c r="O16" s="314"/>
      <c r="P16" s="314"/>
      <c r="Q16" s="314"/>
      <c r="R16" s="314"/>
      <c r="S16" s="314"/>
      <c r="T16" s="314"/>
      <c r="U16" s="314"/>
      <c r="V16" s="314"/>
      <c r="W16" s="314"/>
      <c r="X16" s="314"/>
      <c r="Y16" s="314"/>
      <c r="Z16" s="314"/>
      <c r="AA16" s="314"/>
      <c r="AB16" s="314"/>
      <c r="AC16" s="314"/>
    </row>
    <row r="17" spans="1:29" s="315" customFormat="1" ht="28.5">
      <c r="A17" s="610"/>
      <c r="B17" s="614" t="s">
        <v>353</v>
      </c>
      <c r="C17" s="613" t="s">
        <v>354</v>
      </c>
      <c r="D17" s="319">
        <v>14</v>
      </c>
      <c r="E17" s="320" t="s">
        <v>352</v>
      </c>
      <c r="F17" s="321" t="s">
        <v>389</v>
      </c>
      <c r="G17" s="321" t="s">
        <v>390</v>
      </c>
      <c r="H17" s="321" t="s">
        <v>76</v>
      </c>
      <c r="I17" s="322" t="s">
        <v>16</v>
      </c>
      <c r="J17" s="334">
        <v>0.37</v>
      </c>
      <c r="K17" s="324" t="s">
        <v>532</v>
      </c>
      <c r="L17" s="325" t="s">
        <v>17</v>
      </c>
      <c r="M17" s="335">
        <v>0.35</v>
      </c>
      <c r="N17" s="343"/>
      <c r="O17" s="314"/>
      <c r="P17" s="314"/>
      <c r="Q17" s="314"/>
      <c r="R17" s="314"/>
      <c r="S17" s="314"/>
      <c r="T17" s="314"/>
      <c r="U17" s="314"/>
      <c r="V17" s="314"/>
      <c r="W17" s="314"/>
      <c r="X17" s="314"/>
      <c r="Y17" s="314"/>
      <c r="Z17" s="314"/>
      <c r="AA17" s="314"/>
      <c r="AB17" s="314"/>
      <c r="AC17" s="314"/>
    </row>
    <row r="18" spans="1:29" s="315" customFormat="1" ht="28.5">
      <c r="A18" s="610"/>
      <c r="B18" s="614"/>
      <c r="C18" s="613"/>
      <c r="D18" s="319">
        <v>15</v>
      </c>
      <c r="E18" s="320" t="s">
        <v>355</v>
      </c>
      <c r="F18" s="321" t="s">
        <v>391</v>
      </c>
      <c r="G18" s="321" t="s">
        <v>383</v>
      </c>
      <c r="H18" s="321" t="s">
        <v>76</v>
      </c>
      <c r="I18" s="322" t="s">
        <v>16</v>
      </c>
      <c r="J18" s="334">
        <v>0.5</v>
      </c>
      <c r="K18" s="324" t="s">
        <v>533</v>
      </c>
      <c r="L18" s="325" t="s">
        <v>17</v>
      </c>
      <c r="M18" s="335">
        <v>0.45</v>
      </c>
      <c r="N18" s="343"/>
      <c r="O18" s="314"/>
      <c r="P18" s="314"/>
      <c r="Q18" s="314"/>
      <c r="R18" s="314"/>
      <c r="S18" s="314"/>
      <c r="T18" s="314"/>
      <c r="U18" s="314"/>
      <c r="V18" s="314"/>
      <c r="W18" s="314"/>
      <c r="X18" s="314"/>
      <c r="Y18" s="314"/>
      <c r="Z18" s="314"/>
      <c r="AA18" s="314"/>
      <c r="AB18" s="314"/>
      <c r="AC18" s="314"/>
    </row>
    <row r="19" spans="1:29" s="315" customFormat="1" ht="28.5">
      <c r="A19" s="610"/>
      <c r="B19" s="614"/>
      <c r="C19" s="613"/>
      <c r="D19" s="319">
        <v>16</v>
      </c>
      <c r="E19" s="320" t="s">
        <v>356</v>
      </c>
      <c r="F19" s="321" t="s">
        <v>392</v>
      </c>
      <c r="G19" s="321" t="s">
        <v>384</v>
      </c>
      <c r="H19" s="321" t="s">
        <v>76</v>
      </c>
      <c r="I19" s="322" t="s">
        <v>16</v>
      </c>
      <c r="J19" s="334">
        <v>0.5</v>
      </c>
      <c r="K19" s="324" t="s">
        <v>533</v>
      </c>
      <c r="L19" s="325" t="s">
        <v>17</v>
      </c>
      <c r="M19" s="335">
        <v>0.45</v>
      </c>
      <c r="N19" s="343"/>
      <c r="O19" s="314"/>
      <c r="P19" s="314"/>
      <c r="Q19" s="314"/>
      <c r="R19" s="314"/>
      <c r="S19" s="314"/>
      <c r="T19" s="314"/>
      <c r="U19" s="314"/>
      <c r="V19" s="314"/>
      <c r="W19" s="314"/>
      <c r="X19" s="314"/>
      <c r="Y19" s="314"/>
      <c r="Z19" s="314"/>
      <c r="AA19" s="314"/>
      <c r="AB19" s="314"/>
      <c r="AC19" s="314"/>
    </row>
    <row r="20" spans="1:29" s="315" customFormat="1" ht="38.25">
      <c r="A20" s="610"/>
      <c r="B20" s="614" t="s">
        <v>327</v>
      </c>
      <c r="C20" s="613" t="s">
        <v>367</v>
      </c>
      <c r="D20" s="319">
        <v>17</v>
      </c>
      <c r="E20" s="320" t="s">
        <v>358</v>
      </c>
      <c r="F20" s="321" t="s">
        <v>321</v>
      </c>
      <c r="G20" s="321" t="s">
        <v>400</v>
      </c>
      <c r="H20" s="321" t="s">
        <v>76</v>
      </c>
      <c r="I20" s="322" t="s">
        <v>16</v>
      </c>
      <c r="J20" s="334">
        <v>0.3</v>
      </c>
      <c r="K20" s="324" t="s">
        <v>534</v>
      </c>
      <c r="L20" s="325" t="s">
        <v>17</v>
      </c>
      <c r="M20" s="335">
        <v>0.2</v>
      </c>
      <c r="N20" s="343"/>
      <c r="O20" s="314"/>
      <c r="P20" s="314"/>
      <c r="Q20" s="314"/>
      <c r="R20" s="314"/>
      <c r="S20" s="314"/>
      <c r="T20" s="314"/>
      <c r="U20" s="314"/>
      <c r="V20" s="314"/>
      <c r="W20" s="314"/>
      <c r="X20" s="314"/>
      <c r="Y20" s="314"/>
      <c r="Z20" s="314"/>
      <c r="AA20" s="314"/>
      <c r="AB20" s="314"/>
      <c r="AC20" s="314"/>
    </row>
    <row r="21" spans="1:29" s="315" customFormat="1" ht="42.75">
      <c r="A21" s="610"/>
      <c r="B21" s="614"/>
      <c r="C21" s="613"/>
      <c r="D21" s="319">
        <v>18</v>
      </c>
      <c r="E21" s="320" t="s">
        <v>357</v>
      </c>
      <c r="F21" s="321" t="s">
        <v>322</v>
      </c>
      <c r="G21" s="321" t="s">
        <v>401</v>
      </c>
      <c r="H21" s="321" t="s">
        <v>76</v>
      </c>
      <c r="I21" s="322" t="s">
        <v>16</v>
      </c>
      <c r="J21" s="334">
        <v>0.3</v>
      </c>
      <c r="K21" s="324" t="s">
        <v>534</v>
      </c>
      <c r="L21" s="325" t="s">
        <v>17</v>
      </c>
      <c r="M21" s="335">
        <v>0.2</v>
      </c>
      <c r="N21" s="343"/>
      <c r="O21" s="314"/>
      <c r="P21" s="314"/>
      <c r="Q21" s="314"/>
      <c r="R21" s="314"/>
      <c r="S21" s="314"/>
      <c r="T21" s="314"/>
      <c r="U21" s="314"/>
      <c r="V21" s="314"/>
      <c r="W21" s="314"/>
      <c r="X21" s="314"/>
      <c r="Y21" s="314"/>
      <c r="Z21" s="314"/>
      <c r="AA21" s="314"/>
      <c r="AB21" s="314"/>
      <c r="AC21" s="314"/>
    </row>
    <row r="22" spans="1:29" s="315" customFormat="1" ht="42.75">
      <c r="A22" s="610"/>
      <c r="B22" s="614"/>
      <c r="C22" s="613"/>
      <c r="D22" s="319">
        <v>19</v>
      </c>
      <c r="E22" s="320" t="s">
        <v>359</v>
      </c>
      <c r="F22" s="321" t="s">
        <v>403</v>
      </c>
      <c r="G22" s="321" t="s">
        <v>404</v>
      </c>
      <c r="H22" s="321" t="s">
        <v>76</v>
      </c>
      <c r="I22" s="322" t="s">
        <v>16</v>
      </c>
      <c r="J22" s="334">
        <v>0.48</v>
      </c>
      <c r="K22" s="324" t="s">
        <v>535</v>
      </c>
      <c r="L22" s="325" t="s">
        <v>17</v>
      </c>
      <c r="M22" s="335">
        <v>0.45</v>
      </c>
      <c r="N22" s="343"/>
      <c r="O22" s="314"/>
      <c r="P22" s="314"/>
      <c r="Q22" s="314"/>
      <c r="R22" s="314"/>
      <c r="S22" s="314"/>
      <c r="T22" s="314"/>
      <c r="U22" s="314"/>
      <c r="V22" s="314"/>
      <c r="W22" s="314"/>
      <c r="X22" s="314"/>
      <c r="Y22" s="314"/>
      <c r="Z22" s="314"/>
      <c r="AA22" s="314"/>
      <c r="AB22" s="314"/>
      <c r="AC22" s="314"/>
    </row>
    <row r="23" spans="1:29" s="315" customFormat="1" ht="38.25">
      <c r="A23" s="610"/>
      <c r="B23" s="614"/>
      <c r="C23" s="613"/>
      <c r="D23" s="319">
        <v>20</v>
      </c>
      <c r="E23" s="320" t="s">
        <v>360</v>
      </c>
      <c r="F23" s="321" t="s">
        <v>422</v>
      </c>
      <c r="G23" s="321" t="s">
        <v>402</v>
      </c>
      <c r="H23" s="321" t="s">
        <v>395</v>
      </c>
      <c r="I23" s="322" t="s">
        <v>16</v>
      </c>
      <c r="J23" s="334">
        <v>0.9</v>
      </c>
      <c r="K23" s="324" t="s">
        <v>336</v>
      </c>
      <c r="L23" s="325" t="s">
        <v>17</v>
      </c>
      <c r="M23" s="335">
        <v>0.8</v>
      </c>
      <c r="N23" s="343"/>
      <c r="O23" s="314"/>
      <c r="P23" s="314"/>
      <c r="Q23" s="314"/>
      <c r="R23" s="314"/>
      <c r="S23" s="314"/>
      <c r="T23" s="314"/>
      <c r="U23" s="314"/>
      <c r="V23" s="314"/>
      <c r="W23" s="314"/>
      <c r="X23" s="314"/>
      <c r="Y23" s="314"/>
      <c r="Z23" s="314"/>
      <c r="AA23" s="314"/>
      <c r="AB23" s="314"/>
      <c r="AC23" s="314"/>
    </row>
    <row r="24" spans="1:29" s="315" customFormat="1" ht="71.25">
      <c r="A24" s="610"/>
      <c r="B24" s="614"/>
      <c r="C24" s="613"/>
      <c r="D24" s="319">
        <v>21</v>
      </c>
      <c r="E24" s="320" t="s">
        <v>528</v>
      </c>
      <c r="F24" s="321" t="s">
        <v>397</v>
      </c>
      <c r="G24" s="321" t="s">
        <v>399</v>
      </c>
      <c r="H24" s="321" t="s">
        <v>395</v>
      </c>
      <c r="I24" s="322" t="s">
        <v>308</v>
      </c>
      <c r="J24" s="334">
        <v>0.7</v>
      </c>
      <c r="K24" s="324" t="s">
        <v>337</v>
      </c>
      <c r="L24" s="325" t="s">
        <v>17</v>
      </c>
      <c r="M24" s="335">
        <v>0.6</v>
      </c>
      <c r="N24" s="343"/>
      <c r="O24" s="314"/>
      <c r="P24" s="314"/>
      <c r="Q24" s="314"/>
      <c r="R24" s="314"/>
      <c r="S24" s="314"/>
      <c r="T24" s="314"/>
      <c r="U24" s="314"/>
      <c r="V24" s="314"/>
      <c r="W24" s="314"/>
      <c r="X24" s="314"/>
      <c r="Y24" s="314"/>
      <c r="Z24" s="314"/>
      <c r="AA24" s="314"/>
      <c r="AB24" s="314"/>
      <c r="AC24" s="314"/>
    </row>
    <row r="25" spans="1:29" s="315" customFormat="1" ht="28.5">
      <c r="A25" s="610"/>
      <c r="B25" s="614"/>
      <c r="C25" s="613"/>
      <c r="D25" s="319">
        <v>22</v>
      </c>
      <c r="E25" s="320" t="s">
        <v>362</v>
      </c>
      <c r="F25" s="321" t="s">
        <v>529</v>
      </c>
      <c r="G25" s="321" t="s">
        <v>530</v>
      </c>
      <c r="H25" s="321" t="s">
        <v>76</v>
      </c>
      <c r="I25" s="322" t="s">
        <v>308</v>
      </c>
      <c r="J25" s="334">
        <v>0.7</v>
      </c>
      <c r="K25" s="324" t="s">
        <v>337</v>
      </c>
      <c r="L25" s="325" t="s">
        <v>17</v>
      </c>
      <c r="M25" s="335">
        <v>0.6</v>
      </c>
      <c r="N25" s="343"/>
      <c r="O25" s="314"/>
      <c r="P25" s="314"/>
      <c r="Q25" s="314"/>
      <c r="R25" s="314"/>
      <c r="S25" s="314"/>
      <c r="T25" s="314"/>
      <c r="U25" s="314"/>
      <c r="V25" s="314"/>
      <c r="W25" s="314"/>
      <c r="X25" s="314"/>
      <c r="Y25" s="314"/>
      <c r="Z25" s="314"/>
      <c r="AA25" s="314"/>
      <c r="AB25" s="314"/>
      <c r="AC25" s="314"/>
    </row>
    <row r="26" spans="1:29" s="315" customFormat="1" ht="28.5">
      <c r="A26" s="610"/>
      <c r="B26" s="614" t="s">
        <v>209</v>
      </c>
      <c r="C26" s="613" t="s">
        <v>368</v>
      </c>
      <c r="D26" s="319">
        <v>23</v>
      </c>
      <c r="E26" s="320" t="s">
        <v>361</v>
      </c>
      <c r="F26" s="321" t="s">
        <v>323</v>
      </c>
      <c r="G26" s="321" t="s">
        <v>324</v>
      </c>
      <c r="H26" s="321" t="s">
        <v>76</v>
      </c>
      <c r="I26" s="322" t="s">
        <v>308</v>
      </c>
      <c r="J26" s="334">
        <v>0.8</v>
      </c>
      <c r="K26" s="324" t="s">
        <v>333</v>
      </c>
      <c r="L26" s="325" t="s">
        <v>17</v>
      </c>
      <c r="M26" s="335">
        <v>0.5</v>
      </c>
      <c r="N26" s="343"/>
      <c r="O26" s="314"/>
      <c r="P26" s="314"/>
      <c r="Q26" s="314"/>
      <c r="R26" s="314"/>
      <c r="S26" s="314"/>
      <c r="T26" s="314"/>
      <c r="U26" s="314"/>
      <c r="V26" s="314"/>
      <c r="W26" s="314"/>
      <c r="X26" s="314"/>
      <c r="Y26" s="314"/>
      <c r="Z26" s="314"/>
      <c r="AA26" s="314"/>
      <c r="AB26" s="314"/>
      <c r="AC26" s="314"/>
    </row>
    <row r="27" spans="1:29" s="315" customFormat="1" ht="38.25">
      <c r="A27" s="610"/>
      <c r="B27" s="614"/>
      <c r="C27" s="613"/>
      <c r="D27" s="319">
        <v>24</v>
      </c>
      <c r="E27" s="320" t="s">
        <v>412</v>
      </c>
      <c r="F27" s="321" t="s">
        <v>413</v>
      </c>
      <c r="G27" s="321" t="s">
        <v>414</v>
      </c>
      <c r="H27" s="321" t="s">
        <v>376</v>
      </c>
      <c r="I27" s="322" t="s">
        <v>308</v>
      </c>
      <c r="J27" s="334">
        <v>0.1</v>
      </c>
      <c r="K27" s="324" t="s">
        <v>415</v>
      </c>
      <c r="L27" s="325" t="s">
        <v>17</v>
      </c>
      <c r="M27" s="335">
        <v>7.0000000000000007E-2</v>
      </c>
      <c r="N27" s="343"/>
      <c r="O27" s="314"/>
      <c r="P27" s="314"/>
      <c r="Q27" s="314"/>
      <c r="R27" s="314"/>
      <c r="S27" s="314"/>
      <c r="T27" s="314"/>
      <c r="U27" s="314"/>
      <c r="V27" s="314"/>
      <c r="W27" s="314"/>
      <c r="X27" s="314"/>
      <c r="Y27" s="314"/>
      <c r="Z27" s="314"/>
      <c r="AA27" s="314"/>
      <c r="AB27" s="314"/>
      <c r="AC27" s="314"/>
    </row>
    <row r="28" spans="1:29" s="315" customFormat="1" ht="42.75">
      <c r="A28" s="610"/>
      <c r="B28" s="614"/>
      <c r="C28" s="613"/>
      <c r="D28" s="319">
        <v>25</v>
      </c>
      <c r="E28" s="320" t="s">
        <v>363</v>
      </c>
      <c r="F28" s="321" t="s">
        <v>387</v>
      </c>
      <c r="G28" s="321" t="s">
        <v>388</v>
      </c>
      <c r="H28" s="321" t="s">
        <v>376</v>
      </c>
      <c r="I28" s="322" t="s">
        <v>308</v>
      </c>
      <c r="J28" s="334">
        <v>0.8</v>
      </c>
      <c r="K28" s="324" t="s">
        <v>333</v>
      </c>
      <c r="L28" s="325" t="s">
        <v>17</v>
      </c>
      <c r="M28" s="335">
        <v>0.5</v>
      </c>
      <c r="N28" s="343"/>
      <c r="O28" s="314"/>
      <c r="P28" s="314"/>
      <c r="Q28" s="314"/>
      <c r="R28" s="314"/>
      <c r="S28" s="314"/>
      <c r="T28" s="314"/>
      <c r="U28" s="314"/>
      <c r="V28" s="314"/>
      <c r="W28" s="314"/>
      <c r="X28" s="314"/>
      <c r="Y28" s="314"/>
      <c r="Z28" s="314"/>
      <c r="AA28" s="314"/>
      <c r="AB28" s="314"/>
      <c r="AC28" s="314"/>
    </row>
    <row r="29" spans="1:29" s="315" customFormat="1" ht="68.25" customHeight="1">
      <c r="A29" s="610"/>
      <c r="B29" s="317" t="s">
        <v>382</v>
      </c>
      <c r="C29" s="318" t="s">
        <v>382</v>
      </c>
      <c r="D29" s="319">
        <v>26</v>
      </c>
      <c r="E29" s="320" t="s">
        <v>385</v>
      </c>
      <c r="F29" s="321" t="s">
        <v>386</v>
      </c>
      <c r="G29" s="321" t="s">
        <v>517</v>
      </c>
      <c r="H29" s="321" t="s">
        <v>76</v>
      </c>
      <c r="I29" s="322" t="s">
        <v>308</v>
      </c>
      <c r="J29" s="334">
        <v>0.8</v>
      </c>
      <c r="K29" s="324" t="s">
        <v>333</v>
      </c>
      <c r="L29" s="325" t="s">
        <v>17</v>
      </c>
      <c r="M29" s="335">
        <v>0.5</v>
      </c>
      <c r="N29" s="343"/>
      <c r="O29" s="314"/>
      <c r="P29" s="314"/>
      <c r="Q29" s="314"/>
      <c r="R29" s="314"/>
      <c r="S29" s="314"/>
      <c r="T29" s="314"/>
      <c r="U29" s="314"/>
      <c r="V29" s="314"/>
      <c r="W29" s="314"/>
      <c r="X29" s="314"/>
      <c r="Y29" s="314"/>
      <c r="Z29" s="314"/>
      <c r="AA29" s="314"/>
      <c r="AB29" s="314"/>
      <c r="AC29" s="314"/>
    </row>
    <row r="30" spans="1:29" s="315" customFormat="1" ht="87.75" customHeight="1">
      <c r="A30" s="610" t="s">
        <v>174</v>
      </c>
      <c r="B30" s="317" t="s">
        <v>72</v>
      </c>
      <c r="C30" s="318" t="s">
        <v>332</v>
      </c>
      <c r="D30" s="319">
        <v>27</v>
      </c>
      <c r="E30" s="320" t="s">
        <v>364</v>
      </c>
      <c r="F30" s="321" t="s">
        <v>526</v>
      </c>
      <c r="G30" s="321" t="s">
        <v>527</v>
      </c>
      <c r="H30" s="321" t="s">
        <v>419</v>
      </c>
      <c r="I30" s="333" t="s">
        <v>308</v>
      </c>
      <c r="J30" s="334">
        <v>0.9</v>
      </c>
      <c r="K30" s="324" t="s">
        <v>336</v>
      </c>
      <c r="L30" s="325" t="s">
        <v>17</v>
      </c>
      <c r="M30" s="335">
        <v>0.8</v>
      </c>
      <c r="N30" s="343"/>
      <c r="O30" s="314"/>
      <c r="P30" s="314"/>
      <c r="Q30" s="314"/>
      <c r="R30" s="314"/>
      <c r="S30" s="314"/>
      <c r="T30" s="314"/>
      <c r="U30" s="314"/>
      <c r="V30" s="314"/>
      <c r="W30" s="314"/>
      <c r="X30" s="314"/>
      <c r="Y30" s="314"/>
      <c r="Z30" s="314"/>
      <c r="AA30" s="314"/>
      <c r="AB30" s="314"/>
      <c r="AC30" s="314"/>
    </row>
    <row r="31" spans="1:29" s="314" customFormat="1" ht="75" customHeight="1">
      <c r="A31" s="610"/>
      <c r="B31" s="317" t="s">
        <v>182</v>
      </c>
      <c r="C31" s="318" t="s">
        <v>183</v>
      </c>
      <c r="D31" s="319">
        <v>28</v>
      </c>
      <c r="E31" s="320" t="s">
        <v>329</v>
      </c>
      <c r="F31" s="321" t="s">
        <v>330</v>
      </c>
      <c r="G31" s="321" t="s">
        <v>331</v>
      </c>
      <c r="H31" s="321" t="s">
        <v>420</v>
      </c>
      <c r="I31" s="322" t="s">
        <v>308</v>
      </c>
      <c r="J31" s="334">
        <v>0.1</v>
      </c>
      <c r="K31" s="324" t="s">
        <v>415</v>
      </c>
      <c r="L31" s="325" t="s">
        <v>17</v>
      </c>
      <c r="M31" s="335">
        <v>7.0000000000000007E-2</v>
      </c>
      <c r="N31" s="343"/>
    </row>
    <row r="32" spans="1:29" s="315" customFormat="1" ht="51" customHeight="1">
      <c r="A32" s="610"/>
      <c r="B32" s="611" t="s">
        <v>369</v>
      </c>
      <c r="C32" s="615" t="s">
        <v>421</v>
      </c>
      <c r="D32" s="319">
        <v>29</v>
      </c>
      <c r="E32" s="340" t="s">
        <v>417</v>
      </c>
      <c r="F32" s="321" t="s">
        <v>473</v>
      </c>
      <c r="G32" s="321" t="s">
        <v>472</v>
      </c>
      <c r="H32" s="321" t="s">
        <v>476</v>
      </c>
      <c r="I32" s="322" t="s">
        <v>308</v>
      </c>
      <c r="J32" s="334">
        <v>0.95</v>
      </c>
      <c r="K32" s="324" t="s">
        <v>338</v>
      </c>
      <c r="L32" s="325" t="s">
        <v>17</v>
      </c>
      <c r="M32" s="335">
        <v>0.89</v>
      </c>
      <c r="N32" s="343"/>
      <c r="O32" s="314"/>
      <c r="P32" s="314"/>
      <c r="Q32" s="314"/>
      <c r="R32" s="314"/>
      <c r="S32" s="314"/>
      <c r="T32" s="314"/>
      <c r="U32" s="314"/>
      <c r="V32" s="314"/>
      <c r="W32" s="314"/>
      <c r="X32" s="314"/>
      <c r="Y32" s="314"/>
      <c r="Z32" s="314"/>
      <c r="AA32" s="314"/>
      <c r="AB32" s="314"/>
      <c r="AC32" s="314"/>
    </row>
    <row r="33" spans="1:29" s="315" customFormat="1" ht="51" customHeight="1">
      <c r="A33" s="610"/>
      <c r="B33" s="612"/>
      <c r="C33" s="616"/>
      <c r="D33" s="319">
        <v>30</v>
      </c>
      <c r="E33" s="340" t="s">
        <v>418</v>
      </c>
      <c r="F33" s="321" t="s">
        <v>475</v>
      </c>
      <c r="G33" s="321" t="s">
        <v>474</v>
      </c>
      <c r="H33" s="321" t="s">
        <v>421</v>
      </c>
      <c r="I33" s="322" t="s">
        <v>308</v>
      </c>
      <c r="J33" s="334">
        <v>0.95</v>
      </c>
      <c r="K33" s="324" t="s">
        <v>338</v>
      </c>
      <c r="L33" s="325" t="s">
        <v>17</v>
      </c>
      <c r="M33" s="335">
        <v>0.89</v>
      </c>
      <c r="N33" s="343"/>
      <c r="O33" s="314"/>
      <c r="P33" s="314"/>
      <c r="Q33" s="314"/>
      <c r="R33" s="314"/>
      <c r="S33" s="314"/>
      <c r="T33" s="314"/>
      <c r="U33" s="314"/>
      <c r="V33" s="314"/>
      <c r="W33" s="314"/>
      <c r="X33" s="314"/>
      <c r="Y33" s="314"/>
      <c r="Z33" s="314"/>
      <c r="AA33" s="314"/>
      <c r="AB33" s="314"/>
      <c r="AC33" s="314"/>
    </row>
    <row r="34" spans="1:29" s="314" customFormat="1">
      <c r="A34" s="345"/>
      <c r="B34" s="346"/>
      <c r="C34" s="347"/>
      <c r="D34" s="348"/>
      <c r="E34" s="349"/>
      <c r="F34" s="350"/>
      <c r="G34" s="350"/>
      <c r="H34" s="350"/>
      <c r="I34" s="350"/>
      <c r="J34" s="350"/>
      <c r="K34" s="350"/>
      <c r="L34" s="351"/>
      <c r="M34" s="351"/>
      <c r="N34" s="352"/>
      <c r="O34" s="353"/>
    </row>
    <row r="35" spans="1:29" s="337" customFormat="1">
      <c r="A35" s="354"/>
      <c r="B35" s="355"/>
      <c r="C35" s="356"/>
      <c r="D35" s="357"/>
      <c r="E35" s="342"/>
      <c r="F35" s="342"/>
      <c r="G35" s="342"/>
      <c r="H35" s="342"/>
      <c r="I35" s="342"/>
      <c r="J35" s="342"/>
      <c r="K35" s="342"/>
      <c r="L35" s="342"/>
      <c r="M35" s="342"/>
      <c r="N35" s="314"/>
      <c r="O35" s="314"/>
    </row>
    <row r="36" spans="1:29" s="337" customFormat="1">
      <c r="A36" s="354"/>
      <c r="B36" s="355"/>
      <c r="C36" s="356"/>
      <c r="D36" s="357"/>
      <c r="E36" s="342"/>
      <c r="F36" s="342"/>
      <c r="G36" s="342"/>
      <c r="H36" s="342"/>
      <c r="I36" s="342"/>
      <c r="J36" s="342"/>
      <c r="K36" s="342"/>
      <c r="L36" s="342"/>
      <c r="M36" s="342"/>
      <c r="N36" s="314"/>
      <c r="O36" s="314"/>
    </row>
    <row r="37" spans="1:29" s="337" customFormat="1">
      <c r="A37" s="354"/>
      <c r="B37" s="355"/>
      <c r="C37" s="356"/>
      <c r="D37" s="357"/>
      <c r="E37" s="342"/>
      <c r="F37" s="342"/>
      <c r="G37" s="342"/>
      <c r="H37" s="342"/>
      <c r="I37" s="342"/>
      <c r="J37" s="342"/>
      <c r="K37" s="342"/>
      <c r="L37" s="342"/>
      <c r="M37" s="342"/>
      <c r="N37" s="314"/>
      <c r="O37" s="314"/>
    </row>
    <row r="38" spans="1:29" s="337" customFormat="1">
      <c r="A38" s="354"/>
      <c r="B38" s="355"/>
      <c r="C38" s="356"/>
      <c r="D38" s="357"/>
      <c r="E38" s="342"/>
      <c r="F38" s="342"/>
      <c r="G38" s="342"/>
      <c r="H38" s="342"/>
      <c r="I38" s="342"/>
      <c r="J38" s="342"/>
      <c r="K38" s="342"/>
      <c r="L38" s="342"/>
      <c r="M38" s="342"/>
      <c r="N38" s="314"/>
      <c r="O38" s="314"/>
    </row>
    <row r="39" spans="1:29" s="337" customFormat="1">
      <c r="A39" s="354"/>
      <c r="B39" s="355"/>
      <c r="C39" s="356"/>
      <c r="D39" s="357"/>
      <c r="E39" s="342"/>
      <c r="F39" s="342"/>
      <c r="G39" s="342"/>
      <c r="H39" s="342"/>
      <c r="I39" s="342"/>
      <c r="J39" s="342"/>
      <c r="K39" s="342"/>
      <c r="L39" s="342"/>
      <c r="M39" s="342"/>
      <c r="N39" s="314"/>
      <c r="O39" s="314"/>
    </row>
    <row r="40" spans="1:29" s="337" customFormat="1">
      <c r="A40" s="354"/>
      <c r="B40" s="355"/>
      <c r="C40" s="356"/>
      <c r="D40" s="358"/>
      <c r="E40" s="359"/>
      <c r="F40" s="342"/>
      <c r="G40" s="359"/>
      <c r="H40" s="342"/>
      <c r="I40" s="342"/>
      <c r="J40" s="342"/>
      <c r="K40" s="342"/>
      <c r="L40" s="342"/>
      <c r="M40" s="342"/>
      <c r="O40" s="314"/>
    </row>
    <row r="41" spans="1:29" s="337" customFormat="1">
      <c r="A41" s="354"/>
      <c r="B41" s="355"/>
      <c r="C41" s="356"/>
      <c r="D41" s="358"/>
      <c r="E41" s="359"/>
      <c r="F41" s="342"/>
      <c r="G41" s="359"/>
      <c r="H41" s="342"/>
      <c r="I41" s="342"/>
      <c r="J41" s="342"/>
      <c r="K41" s="342"/>
      <c r="L41" s="342"/>
      <c r="M41" s="342"/>
      <c r="O41" s="314"/>
    </row>
    <row r="42" spans="1:29" s="337" customFormat="1">
      <c r="A42" s="354"/>
      <c r="B42" s="355"/>
      <c r="C42" s="356"/>
      <c r="D42" s="358"/>
      <c r="E42" s="359"/>
      <c r="F42" s="342"/>
      <c r="G42" s="359"/>
      <c r="H42" s="342"/>
      <c r="I42" s="342"/>
      <c r="J42" s="342"/>
      <c r="K42" s="342"/>
      <c r="L42" s="342"/>
      <c r="M42" s="342"/>
    </row>
    <row r="43" spans="1:29" s="337" customFormat="1">
      <c r="A43" s="354"/>
      <c r="B43" s="355"/>
      <c r="C43" s="356"/>
      <c r="D43" s="358"/>
      <c r="E43" s="359"/>
      <c r="F43" s="342"/>
      <c r="G43" s="359"/>
      <c r="H43" s="342"/>
      <c r="I43" s="342"/>
      <c r="J43" s="342"/>
      <c r="K43" s="342"/>
      <c r="L43" s="342"/>
      <c r="M43" s="342"/>
    </row>
    <row r="44" spans="1:29" s="337" customFormat="1">
      <c r="A44" s="360"/>
      <c r="B44" s="361"/>
      <c r="C44" s="356"/>
      <c r="D44" s="358"/>
      <c r="E44" s="359"/>
      <c r="F44" s="342"/>
      <c r="G44" s="359"/>
      <c r="H44" s="342"/>
      <c r="I44" s="342"/>
      <c r="J44" s="342"/>
      <c r="K44" s="342"/>
      <c r="L44" s="342"/>
      <c r="M44" s="342"/>
    </row>
    <row r="45" spans="1:29" s="337" customFormat="1">
      <c r="A45" s="360"/>
      <c r="B45" s="361"/>
      <c r="C45" s="356"/>
      <c r="D45" s="358"/>
      <c r="E45" s="359"/>
      <c r="F45" s="342"/>
      <c r="G45" s="359"/>
      <c r="H45" s="342"/>
      <c r="I45" s="342"/>
      <c r="J45" s="342"/>
      <c r="K45" s="342"/>
      <c r="L45" s="342"/>
      <c r="M45" s="342"/>
    </row>
    <row r="46" spans="1:29" s="337" customFormat="1">
      <c r="A46" s="360"/>
      <c r="B46" s="361"/>
      <c r="C46" s="356"/>
      <c r="D46" s="358"/>
      <c r="E46" s="359"/>
      <c r="F46" s="342"/>
      <c r="G46" s="359"/>
      <c r="H46" s="342"/>
      <c r="I46" s="342"/>
      <c r="J46" s="342"/>
      <c r="K46" s="342"/>
      <c r="L46" s="342"/>
      <c r="M46" s="342"/>
    </row>
    <row r="47" spans="1:29" s="337" customFormat="1">
      <c r="A47" s="360"/>
      <c r="B47" s="361"/>
      <c r="C47" s="356"/>
      <c r="D47" s="358"/>
      <c r="E47" s="359"/>
      <c r="F47" s="342"/>
      <c r="G47" s="359"/>
      <c r="H47" s="342"/>
      <c r="I47" s="342"/>
      <c r="J47" s="342"/>
      <c r="K47" s="342"/>
      <c r="L47" s="342"/>
      <c r="M47" s="342"/>
    </row>
    <row r="48" spans="1:29" s="337" customFormat="1">
      <c r="A48" s="360"/>
      <c r="B48" s="361"/>
      <c r="C48" s="356"/>
      <c r="D48" s="358"/>
      <c r="E48" s="359"/>
      <c r="F48" s="342"/>
      <c r="G48" s="359"/>
      <c r="H48" s="342"/>
      <c r="I48" s="342"/>
      <c r="J48" s="342"/>
      <c r="K48" s="342"/>
      <c r="L48" s="342"/>
      <c r="M48" s="342"/>
    </row>
    <row r="49" spans="1:13" s="337" customFormat="1">
      <c r="A49" s="360"/>
      <c r="B49" s="361"/>
      <c r="C49" s="356"/>
      <c r="D49" s="358"/>
      <c r="E49" s="359"/>
      <c r="F49" s="342"/>
      <c r="G49" s="359"/>
      <c r="H49" s="342"/>
      <c r="I49" s="342"/>
      <c r="J49" s="342"/>
      <c r="K49" s="342"/>
      <c r="L49" s="342"/>
      <c r="M49" s="342"/>
    </row>
    <row r="50" spans="1:13" s="337" customFormat="1">
      <c r="A50" s="360"/>
      <c r="B50" s="361"/>
      <c r="C50" s="356"/>
      <c r="D50" s="358"/>
      <c r="E50" s="359"/>
      <c r="F50" s="342"/>
      <c r="G50" s="359"/>
      <c r="H50" s="342"/>
      <c r="I50" s="342"/>
      <c r="J50" s="342"/>
      <c r="K50" s="342"/>
      <c r="L50" s="342"/>
      <c r="M50" s="342"/>
    </row>
    <row r="51" spans="1:13" s="337" customFormat="1">
      <c r="A51" s="360"/>
      <c r="B51" s="361"/>
      <c r="C51" s="356"/>
      <c r="D51" s="358"/>
      <c r="E51" s="359"/>
      <c r="F51" s="342"/>
      <c r="G51" s="359"/>
      <c r="H51" s="342"/>
      <c r="I51" s="342"/>
      <c r="J51" s="342"/>
      <c r="K51" s="342"/>
      <c r="L51" s="342"/>
      <c r="M51" s="342"/>
    </row>
    <row r="52" spans="1:13" s="337" customFormat="1">
      <c r="A52" s="360"/>
      <c r="B52" s="361"/>
      <c r="C52" s="356"/>
      <c r="D52" s="358"/>
      <c r="E52" s="359"/>
      <c r="F52" s="342"/>
      <c r="G52" s="359"/>
      <c r="H52" s="342"/>
      <c r="I52" s="342"/>
      <c r="J52" s="342"/>
      <c r="K52" s="342"/>
      <c r="L52" s="342"/>
      <c r="M52" s="342"/>
    </row>
    <row r="53" spans="1:13" s="337" customFormat="1">
      <c r="A53" s="360"/>
      <c r="B53" s="361"/>
      <c r="C53" s="356"/>
      <c r="D53" s="358"/>
      <c r="E53" s="359"/>
      <c r="F53" s="342"/>
      <c r="G53" s="359"/>
      <c r="H53" s="342"/>
      <c r="I53" s="342"/>
      <c r="J53" s="342"/>
      <c r="K53" s="342"/>
      <c r="L53" s="342"/>
      <c r="M53" s="342"/>
    </row>
    <row r="54" spans="1:13" s="337" customFormat="1">
      <c r="A54" s="360"/>
      <c r="B54" s="361"/>
      <c r="C54" s="356"/>
      <c r="D54" s="358"/>
      <c r="E54" s="359"/>
      <c r="F54" s="342"/>
      <c r="G54" s="359"/>
      <c r="H54" s="342"/>
      <c r="I54" s="342"/>
      <c r="J54" s="342"/>
      <c r="K54" s="342"/>
      <c r="L54" s="342"/>
      <c r="M54" s="342"/>
    </row>
    <row r="55" spans="1:13" s="337" customFormat="1">
      <c r="A55" s="360"/>
      <c r="B55" s="361"/>
      <c r="C55" s="356"/>
      <c r="D55" s="358"/>
      <c r="E55" s="359"/>
      <c r="F55" s="342"/>
      <c r="G55" s="359"/>
      <c r="H55" s="342"/>
      <c r="I55" s="342"/>
      <c r="J55" s="342"/>
      <c r="K55" s="342"/>
      <c r="L55" s="342"/>
      <c r="M55" s="342"/>
    </row>
    <row r="56" spans="1:13" s="337" customFormat="1">
      <c r="A56" s="360"/>
      <c r="B56" s="361"/>
      <c r="C56" s="356"/>
      <c r="D56" s="358"/>
      <c r="E56" s="359"/>
      <c r="F56" s="342"/>
      <c r="G56" s="359"/>
      <c r="H56" s="342"/>
      <c r="I56" s="342"/>
      <c r="J56" s="342"/>
      <c r="K56" s="342"/>
      <c r="L56" s="342"/>
      <c r="M56" s="342"/>
    </row>
    <row r="57" spans="1:13" s="337" customFormat="1">
      <c r="A57" s="360"/>
      <c r="B57" s="361"/>
      <c r="C57" s="356"/>
      <c r="D57" s="358"/>
      <c r="E57" s="359"/>
      <c r="F57" s="342"/>
      <c r="G57" s="359"/>
      <c r="H57" s="342"/>
      <c r="I57" s="342"/>
      <c r="J57" s="342"/>
      <c r="K57" s="342"/>
      <c r="L57" s="342"/>
      <c r="M57" s="342"/>
    </row>
    <row r="58" spans="1:13" s="337" customFormat="1">
      <c r="A58" s="360"/>
      <c r="B58" s="361"/>
      <c r="C58" s="356"/>
      <c r="D58" s="358"/>
      <c r="E58" s="359"/>
      <c r="F58" s="342"/>
      <c r="G58" s="359"/>
      <c r="H58" s="342"/>
      <c r="I58" s="342"/>
      <c r="J58" s="342"/>
      <c r="K58" s="342"/>
      <c r="L58" s="342"/>
      <c r="M58" s="342"/>
    </row>
    <row r="59" spans="1:13" s="337" customFormat="1">
      <c r="A59" s="360"/>
      <c r="B59" s="361"/>
      <c r="C59" s="356"/>
      <c r="D59" s="358"/>
      <c r="E59" s="359"/>
      <c r="F59" s="342"/>
      <c r="G59" s="359"/>
      <c r="H59" s="342"/>
      <c r="I59" s="342"/>
      <c r="J59" s="342"/>
      <c r="K59" s="342"/>
      <c r="L59" s="342"/>
      <c r="M59" s="342"/>
    </row>
    <row r="60" spans="1:13" s="337" customFormat="1">
      <c r="A60" s="360"/>
      <c r="B60" s="361"/>
      <c r="C60" s="356"/>
      <c r="D60" s="358"/>
      <c r="E60" s="359"/>
      <c r="F60" s="342"/>
      <c r="G60" s="359"/>
      <c r="H60" s="342"/>
      <c r="I60" s="342"/>
      <c r="J60" s="342"/>
      <c r="K60" s="342"/>
      <c r="L60" s="342"/>
      <c r="M60" s="342"/>
    </row>
    <row r="61" spans="1:13" s="337" customFormat="1">
      <c r="A61" s="360"/>
      <c r="B61" s="361"/>
      <c r="C61" s="356"/>
      <c r="D61" s="358"/>
      <c r="E61" s="359"/>
      <c r="F61" s="342"/>
      <c r="G61" s="359"/>
      <c r="H61" s="342"/>
      <c r="I61" s="342"/>
      <c r="J61" s="342"/>
      <c r="K61" s="342"/>
      <c r="L61" s="342"/>
      <c r="M61" s="342"/>
    </row>
    <row r="62" spans="1:13" s="337" customFormat="1">
      <c r="A62" s="360"/>
      <c r="B62" s="361"/>
      <c r="C62" s="356"/>
      <c r="D62" s="358"/>
      <c r="E62" s="359"/>
      <c r="F62" s="342"/>
      <c r="G62" s="359"/>
      <c r="H62" s="342"/>
      <c r="I62" s="342"/>
      <c r="J62" s="342"/>
      <c r="K62" s="342"/>
      <c r="L62" s="342"/>
      <c r="M62" s="342"/>
    </row>
    <row r="63" spans="1:13" s="337" customFormat="1">
      <c r="A63" s="360"/>
      <c r="B63" s="361"/>
      <c r="C63" s="356"/>
      <c r="D63" s="358"/>
      <c r="E63" s="359"/>
      <c r="F63" s="342"/>
      <c r="G63" s="359"/>
      <c r="H63" s="342"/>
      <c r="I63" s="342"/>
      <c r="J63" s="342"/>
      <c r="K63" s="342"/>
      <c r="L63" s="342"/>
      <c r="M63" s="342"/>
    </row>
    <row r="64" spans="1:13" s="337" customFormat="1">
      <c r="A64" s="360"/>
      <c r="B64" s="361"/>
      <c r="C64" s="356"/>
      <c r="D64" s="358"/>
      <c r="E64" s="359"/>
      <c r="F64" s="342"/>
      <c r="G64" s="359"/>
      <c r="H64" s="342"/>
      <c r="I64" s="342"/>
      <c r="J64" s="342"/>
      <c r="K64" s="342"/>
      <c r="L64" s="342"/>
      <c r="M64" s="342"/>
    </row>
    <row r="65" spans="1:29" s="337" customFormat="1">
      <c r="A65" s="360"/>
      <c r="B65" s="361"/>
      <c r="C65" s="356"/>
      <c r="D65" s="358"/>
      <c r="E65" s="359"/>
      <c r="F65" s="342"/>
      <c r="G65" s="359"/>
      <c r="H65" s="342"/>
      <c r="I65" s="342"/>
      <c r="J65" s="342"/>
      <c r="K65" s="342"/>
      <c r="L65" s="342"/>
      <c r="M65" s="342"/>
    </row>
    <row r="66" spans="1:29" s="337" customFormat="1">
      <c r="A66" s="360"/>
      <c r="B66" s="361"/>
      <c r="C66" s="356"/>
      <c r="D66" s="358"/>
      <c r="E66" s="359"/>
      <c r="F66" s="342"/>
      <c r="G66" s="359"/>
      <c r="H66" s="342"/>
      <c r="I66" s="342"/>
      <c r="J66" s="342"/>
      <c r="K66" s="342"/>
      <c r="L66" s="342"/>
      <c r="M66" s="342"/>
    </row>
    <row r="67" spans="1:29" s="337" customFormat="1">
      <c r="A67" s="360"/>
      <c r="B67" s="361"/>
      <c r="C67" s="356"/>
      <c r="D67" s="358"/>
      <c r="E67" s="359"/>
      <c r="F67" s="342"/>
      <c r="G67" s="359"/>
      <c r="H67" s="342"/>
      <c r="I67" s="342"/>
      <c r="J67" s="342"/>
      <c r="K67" s="342"/>
      <c r="L67" s="342"/>
      <c r="M67" s="342"/>
    </row>
    <row r="68" spans="1:29" s="337" customFormat="1">
      <c r="A68" s="360"/>
      <c r="B68" s="361"/>
      <c r="C68" s="356"/>
      <c r="D68" s="358"/>
      <c r="E68" s="359"/>
      <c r="F68" s="342"/>
      <c r="G68" s="359"/>
      <c r="H68" s="342"/>
      <c r="I68" s="342"/>
      <c r="J68" s="342"/>
      <c r="K68" s="342"/>
      <c r="L68" s="342"/>
      <c r="M68" s="342"/>
    </row>
    <row r="69" spans="1:29" s="337" customFormat="1">
      <c r="A69" s="360"/>
      <c r="B69" s="361"/>
      <c r="C69" s="356"/>
      <c r="D69" s="358"/>
      <c r="E69" s="359"/>
      <c r="F69" s="342"/>
      <c r="G69" s="359"/>
      <c r="H69" s="342"/>
      <c r="I69" s="342"/>
      <c r="J69" s="342"/>
      <c r="K69" s="342"/>
      <c r="L69" s="342"/>
      <c r="M69" s="342"/>
    </row>
    <row r="70" spans="1:29" s="337" customFormat="1">
      <c r="A70" s="360"/>
      <c r="B70" s="361"/>
      <c r="C70" s="356"/>
      <c r="D70" s="358"/>
      <c r="E70" s="359"/>
      <c r="F70" s="342"/>
      <c r="G70" s="359"/>
      <c r="H70" s="342"/>
      <c r="I70" s="342"/>
      <c r="J70" s="342"/>
      <c r="K70" s="342"/>
      <c r="L70" s="342"/>
      <c r="M70" s="342"/>
    </row>
    <row r="71" spans="1:29" s="337" customFormat="1">
      <c r="A71" s="360"/>
      <c r="B71" s="361"/>
      <c r="C71" s="356"/>
      <c r="D71" s="358"/>
      <c r="E71" s="359"/>
      <c r="F71" s="342"/>
      <c r="G71" s="359"/>
      <c r="H71" s="342"/>
      <c r="I71" s="342"/>
      <c r="J71" s="342"/>
      <c r="K71" s="342"/>
      <c r="L71" s="342"/>
      <c r="M71" s="342"/>
    </row>
    <row r="72" spans="1:29" s="367" customFormat="1">
      <c r="A72" s="360"/>
      <c r="B72" s="362"/>
      <c r="C72" s="363"/>
      <c r="D72" s="364"/>
      <c r="E72" s="365"/>
      <c r="F72" s="366"/>
      <c r="G72" s="365"/>
      <c r="H72" s="366"/>
      <c r="I72" s="366"/>
      <c r="J72" s="366"/>
      <c r="K72" s="366"/>
      <c r="L72" s="366"/>
      <c r="M72" s="366"/>
      <c r="N72" s="337"/>
      <c r="O72" s="337"/>
      <c r="P72" s="337"/>
      <c r="Q72" s="337"/>
      <c r="R72" s="337"/>
      <c r="S72" s="337"/>
      <c r="T72" s="337"/>
      <c r="U72" s="337"/>
      <c r="V72" s="337"/>
      <c r="W72" s="337"/>
      <c r="X72" s="337"/>
      <c r="Y72" s="337"/>
      <c r="Z72" s="337"/>
      <c r="AA72" s="337"/>
      <c r="AB72" s="337"/>
      <c r="AC72" s="337"/>
    </row>
    <row r="73" spans="1:29" s="367" customFormat="1">
      <c r="A73" s="360"/>
      <c r="B73" s="362"/>
      <c r="C73" s="363"/>
      <c r="D73" s="364"/>
      <c r="E73" s="365"/>
      <c r="F73" s="366"/>
      <c r="G73" s="365"/>
      <c r="H73" s="366"/>
      <c r="I73" s="366"/>
      <c r="J73" s="366"/>
      <c r="K73" s="366"/>
      <c r="L73" s="366"/>
      <c r="M73" s="366"/>
      <c r="N73" s="337"/>
      <c r="O73" s="337"/>
      <c r="P73" s="337"/>
      <c r="Q73" s="337"/>
      <c r="R73" s="337"/>
      <c r="S73" s="337"/>
      <c r="T73" s="337"/>
      <c r="U73" s="337"/>
      <c r="V73" s="337"/>
      <c r="W73" s="337"/>
      <c r="X73" s="337"/>
      <c r="Y73" s="337"/>
      <c r="Z73" s="337"/>
      <c r="AA73" s="337"/>
      <c r="AB73" s="337"/>
      <c r="AC73" s="337"/>
    </row>
    <row r="74" spans="1:29" s="367" customFormat="1">
      <c r="A74" s="360"/>
      <c r="B74" s="362"/>
      <c r="C74" s="363"/>
      <c r="D74" s="364"/>
      <c r="E74" s="365"/>
      <c r="F74" s="366"/>
      <c r="G74" s="365"/>
      <c r="H74" s="366"/>
      <c r="I74" s="366"/>
      <c r="J74" s="366"/>
      <c r="K74" s="366"/>
      <c r="L74" s="366"/>
      <c r="M74" s="366"/>
      <c r="N74" s="337"/>
      <c r="O74" s="337"/>
      <c r="P74" s="337"/>
      <c r="Q74" s="337"/>
      <c r="R74" s="337"/>
      <c r="S74" s="337"/>
      <c r="T74" s="337"/>
      <c r="U74" s="337"/>
      <c r="V74" s="337"/>
      <c r="W74" s="337"/>
      <c r="X74" s="337"/>
      <c r="Y74" s="337"/>
      <c r="Z74" s="337"/>
      <c r="AA74" s="337"/>
      <c r="AB74" s="337"/>
      <c r="AC74" s="337"/>
    </row>
    <row r="75" spans="1:29" s="367" customFormat="1">
      <c r="A75" s="360"/>
      <c r="B75" s="362"/>
      <c r="C75" s="363"/>
      <c r="D75" s="364"/>
      <c r="E75" s="365"/>
      <c r="F75" s="366"/>
      <c r="G75" s="365"/>
      <c r="H75" s="366"/>
      <c r="I75" s="366"/>
      <c r="J75" s="366"/>
      <c r="K75" s="366"/>
      <c r="L75" s="366"/>
      <c r="M75" s="366"/>
      <c r="N75" s="337"/>
      <c r="O75" s="337"/>
      <c r="P75" s="337"/>
      <c r="Q75" s="337"/>
      <c r="R75" s="337"/>
      <c r="S75" s="337"/>
      <c r="T75" s="337"/>
      <c r="U75" s="337"/>
      <c r="V75" s="337"/>
      <c r="W75" s="337"/>
      <c r="X75" s="337"/>
      <c r="Y75" s="337"/>
      <c r="Z75" s="337"/>
      <c r="AA75" s="337"/>
      <c r="AB75" s="337"/>
      <c r="AC75" s="337"/>
    </row>
    <row r="76" spans="1:29" s="367" customFormat="1">
      <c r="A76" s="360"/>
      <c r="B76" s="362"/>
      <c r="C76" s="363"/>
      <c r="D76" s="364"/>
      <c r="E76" s="365"/>
      <c r="F76" s="366"/>
      <c r="G76" s="365"/>
      <c r="H76" s="366"/>
      <c r="I76" s="366"/>
      <c r="J76" s="366"/>
      <c r="K76" s="366"/>
      <c r="L76" s="366"/>
      <c r="M76" s="366"/>
      <c r="N76" s="337"/>
      <c r="O76" s="337"/>
      <c r="P76" s="337"/>
      <c r="Q76" s="337"/>
      <c r="R76" s="337"/>
      <c r="S76" s="337"/>
      <c r="T76" s="337"/>
      <c r="U76" s="337"/>
      <c r="V76" s="337"/>
      <c r="W76" s="337"/>
      <c r="X76" s="337"/>
      <c r="Y76" s="337"/>
      <c r="Z76" s="337"/>
      <c r="AA76" s="337"/>
      <c r="AB76" s="337"/>
      <c r="AC76" s="337"/>
    </row>
    <row r="77" spans="1:29" s="367" customFormat="1">
      <c r="A77" s="360"/>
      <c r="B77" s="362"/>
      <c r="C77" s="363"/>
      <c r="D77" s="364"/>
      <c r="E77" s="365"/>
      <c r="F77" s="366"/>
      <c r="G77" s="365"/>
      <c r="H77" s="366"/>
      <c r="I77" s="366"/>
      <c r="J77" s="366"/>
      <c r="K77" s="366"/>
      <c r="L77" s="366"/>
      <c r="M77" s="366"/>
      <c r="N77" s="337"/>
      <c r="O77" s="337"/>
      <c r="P77" s="337"/>
      <c r="Q77" s="337"/>
      <c r="R77" s="337"/>
      <c r="S77" s="337"/>
      <c r="T77" s="337"/>
      <c r="U77" s="337"/>
      <c r="V77" s="337"/>
      <c r="W77" s="337"/>
      <c r="X77" s="337"/>
      <c r="Y77" s="337"/>
      <c r="Z77" s="337"/>
      <c r="AA77" s="337"/>
      <c r="AB77" s="337"/>
      <c r="AC77" s="337"/>
    </row>
    <row r="78" spans="1:29" s="367" customFormat="1">
      <c r="A78" s="360"/>
      <c r="B78" s="362"/>
      <c r="C78" s="363"/>
      <c r="D78" s="364"/>
      <c r="E78" s="365"/>
      <c r="F78" s="366"/>
      <c r="G78" s="365"/>
      <c r="H78" s="366"/>
      <c r="I78" s="366"/>
      <c r="J78" s="366"/>
      <c r="K78" s="366"/>
      <c r="L78" s="366"/>
      <c r="M78" s="366"/>
      <c r="N78" s="337"/>
      <c r="O78" s="337"/>
      <c r="P78" s="337"/>
      <c r="Q78" s="337"/>
      <c r="R78" s="337"/>
      <c r="S78" s="337"/>
      <c r="T78" s="337"/>
      <c r="U78" s="337"/>
      <c r="V78" s="337"/>
      <c r="W78" s="337"/>
      <c r="X78" s="337"/>
      <c r="Y78" s="337"/>
      <c r="Z78" s="337"/>
      <c r="AA78" s="337"/>
      <c r="AB78" s="337"/>
      <c r="AC78" s="337"/>
    </row>
    <row r="79" spans="1:29" s="367" customFormat="1">
      <c r="A79" s="360"/>
      <c r="B79" s="362"/>
      <c r="C79" s="363"/>
      <c r="D79" s="364"/>
      <c r="E79" s="365"/>
      <c r="F79" s="366"/>
      <c r="G79" s="365"/>
      <c r="H79" s="366"/>
      <c r="I79" s="366"/>
      <c r="J79" s="366"/>
      <c r="K79" s="366"/>
      <c r="L79" s="366"/>
      <c r="M79" s="366"/>
      <c r="N79" s="337"/>
      <c r="O79" s="337"/>
      <c r="P79" s="337"/>
      <c r="Q79" s="337"/>
      <c r="R79" s="337"/>
      <c r="S79" s="337"/>
      <c r="T79" s="337"/>
      <c r="U79" s="337"/>
      <c r="V79" s="337"/>
      <c r="W79" s="337"/>
      <c r="X79" s="337"/>
      <c r="Y79" s="337"/>
      <c r="Z79" s="337"/>
      <c r="AA79" s="337"/>
      <c r="AB79" s="337"/>
      <c r="AC79" s="337"/>
    </row>
    <row r="80" spans="1:29" s="367" customFormat="1">
      <c r="A80" s="360"/>
      <c r="B80" s="362"/>
      <c r="C80" s="363"/>
      <c r="D80" s="364"/>
      <c r="E80" s="365"/>
      <c r="F80" s="366"/>
      <c r="G80" s="365"/>
      <c r="H80" s="366"/>
      <c r="I80" s="366"/>
      <c r="J80" s="366"/>
      <c r="K80" s="366"/>
      <c r="L80" s="366"/>
      <c r="M80" s="366"/>
      <c r="N80" s="337"/>
      <c r="O80" s="337"/>
      <c r="P80" s="337"/>
      <c r="Q80" s="337"/>
      <c r="R80" s="337"/>
      <c r="S80" s="337"/>
      <c r="T80" s="337"/>
      <c r="U80" s="337"/>
      <c r="V80" s="337"/>
      <c r="W80" s="337"/>
      <c r="X80" s="337"/>
      <c r="Y80" s="337"/>
      <c r="Z80" s="337"/>
      <c r="AA80" s="337"/>
      <c r="AB80" s="337"/>
      <c r="AC80" s="337"/>
    </row>
    <row r="81" spans="1:29" s="367" customFormat="1">
      <c r="A81" s="360"/>
      <c r="B81" s="362"/>
      <c r="C81" s="363"/>
      <c r="D81" s="364"/>
      <c r="E81" s="365"/>
      <c r="F81" s="366"/>
      <c r="G81" s="365"/>
      <c r="H81" s="366"/>
      <c r="I81" s="366"/>
      <c r="J81" s="366"/>
      <c r="K81" s="366"/>
      <c r="L81" s="366"/>
      <c r="M81" s="366"/>
      <c r="N81" s="337"/>
      <c r="O81" s="337"/>
      <c r="P81" s="337"/>
      <c r="Q81" s="337"/>
      <c r="R81" s="337"/>
      <c r="S81" s="337"/>
      <c r="T81" s="337"/>
      <c r="U81" s="337"/>
      <c r="V81" s="337"/>
      <c r="W81" s="337"/>
      <c r="X81" s="337"/>
      <c r="Y81" s="337"/>
      <c r="Z81" s="337"/>
      <c r="AA81" s="337"/>
      <c r="AB81" s="337"/>
      <c r="AC81" s="337"/>
    </row>
    <row r="82" spans="1:29" s="367" customFormat="1">
      <c r="A82" s="360"/>
      <c r="B82" s="362"/>
      <c r="C82" s="363"/>
      <c r="D82" s="364"/>
      <c r="E82" s="365"/>
      <c r="F82" s="366"/>
      <c r="G82" s="365"/>
      <c r="H82" s="366"/>
      <c r="I82" s="366"/>
      <c r="J82" s="366"/>
      <c r="K82" s="366"/>
      <c r="L82" s="366"/>
      <c r="M82" s="366"/>
      <c r="N82" s="337"/>
      <c r="O82" s="337"/>
      <c r="P82" s="337"/>
      <c r="Q82" s="337"/>
      <c r="R82" s="337"/>
      <c r="S82" s="337"/>
      <c r="T82" s="337"/>
      <c r="U82" s="337"/>
      <c r="V82" s="337"/>
      <c r="W82" s="337"/>
      <c r="X82" s="337"/>
      <c r="Y82" s="337"/>
      <c r="Z82" s="337"/>
      <c r="AA82" s="337"/>
      <c r="AB82" s="337"/>
      <c r="AC82" s="337"/>
    </row>
    <row r="83" spans="1:29" s="367" customFormat="1">
      <c r="A83" s="360"/>
      <c r="B83" s="362"/>
      <c r="C83" s="363"/>
      <c r="D83" s="364"/>
      <c r="E83" s="365"/>
      <c r="F83" s="366"/>
      <c r="G83" s="365"/>
      <c r="H83" s="366"/>
      <c r="I83" s="366"/>
      <c r="J83" s="366"/>
      <c r="K83" s="366"/>
      <c r="L83" s="366"/>
      <c r="M83" s="366"/>
      <c r="N83" s="337"/>
      <c r="O83" s="337"/>
      <c r="P83" s="337"/>
      <c r="Q83" s="337"/>
      <c r="R83" s="337"/>
      <c r="S83" s="337"/>
      <c r="T83" s="337"/>
      <c r="U83" s="337"/>
      <c r="V83" s="337"/>
      <c r="W83" s="337"/>
      <c r="X83" s="337"/>
      <c r="Y83" s="337"/>
      <c r="Z83" s="337"/>
      <c r="AA83" s="337"/>
      <c r="AB83" s="337"/>
      <c r="AC83" s="337"/>
    </row>
    <row r="84" spans="1:29" s="367" customFormat="1">
      <c r="A84" s="360"/>
      <c r="B84" s="362"/>
      <c r="C84" s="363"/>
      <c r="D84" s="364"/>
      <c r="E84" s="365"/>
      <c r="F84" s="366"/>
      <c r="G84" s="365"/>
      <c r="H84" s="366"/>
      <c r="I84" s="366"/>
      <c r="J84" s="366"/>
      <c r="K84" s="366"/>
      <c r="L84" s="366"/>
      <c r="M84" s="366"/>
      <c r="N84" s="337"/>
      <c r="O84" s="337"/>
      <c r="P84" s="337"/>
      <c r="Q84" s="337"/>
      <c r="R84" s="337"/>
      <c r="S84" s="337"/>
      <c r="T84" s="337"/>
      <c r="U84" s="337"/>
      <c r="V84" s="337"/>
      <c r="W84" s="337"/>
      <c r="X84" s="337"/>
      <c r="Y84" s="337"/>
      <c r="Z84" s="337"/>
      <c r="AA84" s="337"/>
      <c r="AB84" s="337"/>
      <c r="AC84" s="337"/>
    </row>
    <row r="85" spans="1:29" s="367" customFormat="1">
      <c r="A85" s="360"/>
      <c r="B85" s="362"/>
      <c r="C85" s="363"/>
      <c r="D85" s="364"/>
      <c r="E85" s="365"/>
      <c r="F85" s="366"/>
      <c r="G85" s="365"/>
      <c r="H85" s="366"/>
      <c r="I85" s="366"/>
      <c r="J85" s="366"/>
      <c r="K85" s="366"/>
      <c r="L85" s="366"/>
      <c r="M85" s="366"/>
      <c r="N85" s="337"/>
      <c r="O85" s="337"/>
      <c r="P85" s="337"/>
      <c r="Q85" s="337"/>
      <c r="R85" s="337"/>
      <c r="S85" s="337"/>
      <c r="T85" s="337"/>
      <c r="U85" s="337"/>
      <c r="V85" s="337"/>
      <c r="W85" s="337"/>
      <c r="X85" s="337"/>
      <c r="Y85" s="337"/>
      <c r="Z85" s="337"/>
      <c r="AA85" s="337"/>
      <c r="AB85" s="337"/>
      <c r="AC85" s="337"/>
    </row>
    <row r="86" spans="1:29" s="367" customFormat="1">
      <c r="A86" s="360"/>
      <c r="B86" s="362"/>
      <c r="C86" s="363"/>
      <c r="D86" s="364"/>
      <c r="E86" s="365"/>
      <c r="F86" s="366"/>
      <c r="G86" s="365"/>
      <c r="H86" s="366"/>
      <c r="I86" s="366"/>
      <c r="J86" s="366"/>
      <c r="K86" s="366"/>
      <c r="L86" s="366"/>
      <c r="M86" s="366"/>
      <c r="N86" s="337"/>
      <c r="O86" s="337"/>
      <c r="P86" s="337"/>
      <c r="Q86" s="337"/>
      <c r="R86" s="337"/>
      <c r="S86" s="337"/>
      <c r="T86" s="337"/>
      <c r="U86" s="337"/>
      <c r="V86" s="337"/>
      <c r="W86" s="337"/>
      <c r="X86" s="337"/>
      <c r="Y86" s="337"/>
      <c r="Z86" s="337"/>
      <c r="AA86" s="337"/>
      <c r="AB86" s="337"/>
      <c r="AC86" s="337"/>
    </row>
    <row r="87" spans="1:29" s="367" customFormat="1">
      <c r="A87" s="360"/>
      <c r="B87" s="362"/>
      <c r="C87" s="363"/>
      <c r="D87" s="364"/>
      <c r="E87" s="365"/>
      <c r="F87" s="366"/>
      <c r="G87" s="365"/>
      <c r="H87" s="366"/>
      <c r="I87" s="366"/>
      <c r="J87" s="366"/>
      <c r="K87" s="366"/>
      <c r="L87" s="366"/>
      <c r="M87" s="366"/>
      <c r="N87" s="337"/>
      <c r="O87" s="337"/>
      <c r="P87" s="337"/>
      <c r="Q87" s="337"/>
      <c r="R87" s="337"/>
      <c r="S87" s="337"/>
      <c r="T87" s="337"/>
      <c r="U87" s="337"/>
      <c r="V87" s="337"/>
      <c r="W87" s="337"/>
      <c r="X87" s="337"/>
      <c r="Y87" s="337"/>
      <c r="Z87" s="337"/>
      <c r="AA87" s="337"/>
      <c r="AB87" s="337"/>
      <c r="AC87" s="337"/>
    </row>
    <row r="88" spans="1:29" s="367" customFormat="1">
      <c r="A88" s="360"/>
      <c r="B88" s="362"/>
      <c r="C88" s="363"/>
      <c r="D88" s="364"/>
      <c r="E88" s="365"/>
      <c r="F88" s="366"/>
      <c r="G88" s="365"/>
      <c r="H88" s="366"/>
      <c r="I88" s="366"/>
      <c r="J88" s="366"/>
      <c r="K88" s="366"/>
      <c r="L88" s="366"/>
      <c r="M88" s="366"/>
      <c r="N88" s="337"/>
      <c r="O88" s="337"/>
      <c r="P88" s="337"/>
      <c r="Q88" s="337"/>
      <c r="R88" s="337"/>
      <c r="S88" s="337"/>
      <c r="T88" s="337"/>
      <c r="U88" s="337"/>
      <c r="V88" s="337"/>
      <c r="W88" s="337"/>
      <c r="X88" s="337"/>
      <c r="Y88" s="337"/>
      <c r="Z88" s="337"/>
      <c r="AA88" s="337"/>
      <c r="AB88" s="337"/>
      <c r="AC88" s="337"/>
    </row>
    <row r="89" spans="1:29" s="367" customFormat="1">
      <c r="A89" s="360"/>
      <c r="B89" s="362"/>
      <c r="C89" s="363"/>
      <c r="D89" s="364"/>
      <c r="E89" s="365"/>
      <c r="F89" s="366"/>
      <c r="G89" s="365"/>
      <c r="H89" s="366"/>
      <c r="I89" s="366"/>
      <c r="J89" s="366"/>
      <c r="K89" s="366"/>
      <c r="L89" s="366"/>
      <c r="M89" s="366"/>
      <c r="N89" s="337"/>
      <c r="O89" s="337"/>
      <c r="P89" s="337"/>
      <c r="Q89" s="337"/>
      <c r="R89" s="337"/>
      <c r="S89" s="337"/>
      <c r="T89" s="337"/>
      <c r="U89" s="337"/>
      <c r="V89" s="337"/>
      <c r="W89" s="337"/>
      <c r="X89" s="337"/>
      <c r="Y89" s="337"/>
      <c r="Z89" s="337"/>
      <c r="AA89" s="337"/>
      <c r="AB89" s="337"/>
      <c r="AC89" s="337"/>
    </row>
    <row r="90" spans="1:29" s="367" customFormat="1">
      <c r="A90" s="360"/>
      <c r="B90" s="362"/>
      <c r="C90" s="363"/>
      <c r="D90" s="364"/>
      <c r="E90" s="365"/>
      <c r="F90" s="366"/>
      <c r="G90" s="365"/>
      <c r="H90" s="366"/>
      <c r="I90" s="366"/>
      <c r="J90" s="366"/>
      <c r="K90" s="366"/>
      <c r="L90" s="366"/>
      <c r="M90" s="366"/>
      <c r="N90" s="337"/>
      <c r="O90" s="337"/>
      <c r="P90" s="337"/>
      <c r="Q90" s="337"/>
      <c r="R90" s="337"/>
      <c r="S90" s="337"/>
      <c r="T90" s="337"/>
      <c r="U90" s="337"/>
      <c r="V90" s="337"/>
      <c r="W90" s="337"/>
      <c r="X90" s="337"/>
      <c r="Y90" s="337"/>
      <c r="Z90" s="337"/>
      <c r="AA90" s="337"/>
      <c r="AB90" s="337"/>
      <c r="AC90" s="337"/>
    </row>
    <row r="91" spans="1:29" s="367" customFormat="1">
      <c r="A91" s="360"/>
      <c r="B91" s="362"/>
      <c r="C91" s="363"/>
      <c r="D91" s="364"/>
      <c r="E91" s="365"/>
      <c r="F91" s="366"/>
      <c r="G91" s="365"/>
      <c r="H91" s="366"/>
      <c r="I91" s="366"/>
      <c r="J91" s="366"/>
      <c r="K91" s="366"/>
      <c r="L91" s="366"/>
      <c r="M91" s="366"/>
      <c r="N91" s="337"/>
      <c r="O91" s="337"/>
      <c r="P91" s="337"/>
      <c r="Q91" s="337"/>
      <c r="R91" s="337"/>
      <c r="S91" s="337"/>
      <c r="T91" s="337"/>
      <c r="U91" s="337"/>
      <c r="V91" s="337"/>
      <c r="W91" s="337"/>
      <c r="X91" s="337"/>
      <c r="Y91" s="337"/>
      <c r="Z91" s="337"/>
      <c r="AA91" s="337"/>
      <c r="AB91" s="337"/>
      <c r="AC91" s="337"/>
    </row>
    <row r="92" spans="1:29" s="367" customFormat="1">
      <c r="A92" s="360"/>
      <c r="B92" s="362"/>
      <c r="C92" s="363"/>
      <c r="D92" s="364"/>
      <c r="E92" s="365"/>
      <c r="F92" s="366"/>
      <c r="G92" s="365"/>
      <c r="H92" s="366"/>
      <c r="I92" s="366"/>
      <c r="J92" s="366"/>
      <c r="K92" s="366"/>
      <c r="L92" s="366"/>
      <c r="M92" s="366"/>
      <c r="N92" s="337"/>
      <c r="O92" s="337"/>
      <c r="P92" s="337"/>
      <c r="Q92" s="337"/>
      <c r="R92" s="337"/>
      <c r="S92" s="337"/>
      <c r="T92" s="337"/>
      <c r="U92" s="337"/>
      <c r="V92" s="337"/>
      <c r="W92" s="337"/>
      <c r="X92" s="337"/>
      <c r="Y92" s="337"/>
      <c r="Z92" s="337"/>
      <c r="AA92" s="337"/>
      <c r="AB92" s="337"/>
      <c r="AC92" s="337"/>
    </row>
    <row r="93" spans="1:29" s="367" customFormat="1">
      <c r="A93" s="360"/>
      <c r="B93" s="362"/>
      <c r="C93" s="363"/>
      <c r="D93" s="368"/>
      <c r="E93" s="369"/>
      <c r="F93" s="370"/>
      <c r="G93" s="369"/>
      <c r="H93" s="370"/>
      <c r="I93" s="370"/>
      <c r="J93" s="370"/>
      <c r="K93" s="370"/>
      <c r="L93" s="370"/>
      <c r="M93" s="370"/>
      <c r="N93" s="337"/>
      <c r="O93" s="337"/>
      <c r="P93" s="337"/>
      <c r="Q93" s="337"/>
      <c r="R93" s="337"/>
      <c r="S93" s="337"/>
      <c r="T93" s="337"/>
      <c r="U93" s="337"/>
      <c r="V93" s="337"/>
      <c r="W93" s="337"/>
      <c r="X93" s="337"/>
      <c r="Y93" s="337"/>
      <c r="Z93" s="337"/>
      <c r="AA93" s="337"/>
      <c r="AB93" s="337"/>
      <c r="AC93" s="337"/>
    </row>
    <row r="94" spans="1:29" s="367" customFormat="1">
      <c r="A94" s="360"/>
      <c r="B94" s="362"/>
      <c r="C94" s="363"/>
      <c r="D94" s="368"/>
      <c r="E94" s="369"/>
      <c r="F94" s="370"/>
      <c r="G94" s="369"/>
      <c r="H94" s="370"/>
      <c r="I94" s="370"/>
      <c r="J94" s="370"/>
      <c r="K94" s="370"/>
      <c r="L94" s="370"/>
      <c r="M94" s="370"/>
      <c r="N94" s="337"/>
      <c r="O94" s="337"/>
      <c r="P94" s="337"/>
      <c r="Q94" s="337"/>
      <c r="R94" s="337"/>
      <c r="S94" s="337"/>
      <c r="T94" s="337"/>
      <c r="U94" s="337"/>
      <c r="V94" s="337"/>
      <c r="W94" s="337"/>
      <c r="X94" s="337"/>
      <c r="Y94" s="337"/>
      <c r="Z94" s="337"/>
      <c r="AA94" s="337"/>
      <c r="AB94" s="337"/>
      <c r="AC94" s="337"/>
    </row>
  </sheetData>
  <sheetProtection algorithmName="SHA-512" hashValue="cdyZPsw4fXZQPbwOn8gIOAgZIBA8/luaxNhRKWe+gooEie69TXzJS/D2jq+0RdYZ8Culz1HT4AYr96urx8STgg==" saltValue="yRlnAL7r9ka7ZAnEC7MrJw==" spinCount="100000" sheet="1" selectLockedCells="1" selectUnlockedCells="1"/>
  <mergeCells count="27">
    <mergeCell ref="Q6:U6"/>
    <mergeCell ref="A1:M1"/>
    <mergeCell ref="A4:A6"/>
    <mergeCell ref="C4:C6"/>
    <mergeCell ref="D2:E3"/>
    <mergeCell ref="F2:F3"/>
    <mergeCell ref="G2:G3"/>
    <mergeCell ref="I3:J3"/>
    <mergeCell ref="L3:M3"/>
    <mergeCell ref="H2:H3"/>
    <mergeCell ref="A2:C3"/>
    <mergeCell ref="B4:B6"/>
    <mergeCell ref="I2:M2"/>
    <mergeCell ref="A30:A33"/>
    <mergeCell ref="B32:B33"/>
    <mergeCell ref="C26:C28"/>
    <mergeCell ref="B26:B28"/>
    <mergeCell ref="C32:C33"/>
    <mergeCell ref="A7:A29"/>
    <mergeCell ref="B20:B25"/>
    <mergeCell ref="B17:B19"/>
    <mergeCell ref="C17:C19"/>
    <mergeCell ref="C7:C11"/>
    <mergeCell ref="B7:B11"/>
    <mergeCell ref="C12:C16"/>
    <mergeCell ref="B12:B16"/>
    <mergeCell ref="C20:C25"/>
  </mergeCells>
  <phoneticPr fontId="4" type="noConversion"/>
  <conditionalFormatting sqref="Q6">
    <cfRule type="cellIs" dxfId="47" priority="1" operator="equal">
      <formula>"Adecuado"</formula>
    </cfRule>
    <cfRule type="cellIs" dxfId="46" priority="2" operator="equal">
      <formula>"Regular"</formula>
    </cfRule>
    <cfRule type="cellIs" dxfId="45" priority="3" operator="equal">
      <formula>"Deficiente"</formula>
    </cfRule>
  </conditionalFormatting>
  <printOptions horizontalCentered="1" verticalCentered="1"/>
  <pageMargins left="0.19685039370078741" right="0.19685039370078741" top="0.39370078740157483" bottom="0.39370078740157483" header="0" footer="0"/>
  <pageSetup paperSize="9" scale="65"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tabColor rgb="FF00B050"/>
    <pageSetUpPr fitToPage="1"/>
  </sheetPr>
  <dimension ref="A1:CY99"/>
  <sheetViews>
    <sheetView topLeftCell="G1" workbookViewId="0"/>
  </sheetViews>
  <sheetFormatPr baseColWidth="10" defaultColWidth="11.42578125" defaultRowHeight="12.75"/>
  <cols>
    <col min="1" max="1" width="22.28515625" style="45" customWidth="1"/>
    <col min="2" max="2" width="24.42578125" style="45" customWidth="1"/>
    <col min="3" max="5" width="17.7109375" style="244" customWidth="1"/>
    <col min="6" max="6" width="19.140625" style="244" customWidth="1"/>
    <col min="7" max="7" width="19.140625" style="45" customWidth="1"/>
    <col min="8" max="8" width="14.7109375" style="244" customWidth="1"/>
    <col min="9" max="9" width="14.42578125" style="244" customWidth="1"/>
    <col min="10" max="11" width="13.42578125" style="45" customWidth="1"/>
    <col min="12" max="12" width="13.42578125" style="244" customWidth="1"/>
    <col min="13" max="16" width="11.42578125" style="45"/>
    <col min="17" max="17" width="17.140625" style="45" customWidth="1"/>
    <col min="18" max="18" width="17.85546875" style="45" customWidth="1"/>
    <col min="19" max="20" width="11.42578125" style="45"/>
    <col min="21" max="21" width="20.28515625" style="45" customWidth="1"/>
    <col min="22" max="22" width="17" style="45" customWidth="1"/>
    <col min="23" max="23" width="14.5703125" style="45" customWidth="1"/>
    <col min="24" max="24" width="11.42578125" style="45"/>
    <col min="25" max="25" width="16.5703125" style="45" customWidth="1"/>
    <col min="26" max="26" width="20.5703125" style="45" customWidth="1"/>
    <col min="27" max="27" width="11.42578125" style="45"/>
    <col min="28" max="28" width="18.140625" style="45" customWidth="1"/>
    <col min="29" max="29" width="22.42578125" style="45" customWidth="1"/>
    <col min="30" max="31" width="11.42578125" style="45"/>
    <col min="32" max="32" width="21.7109375" style="45" customWidth="1"/>
    <col min="33" max="33" width="21.5703125" style="45" customWidth="1"/>
    <col min="34" max="34" width="18.140625" style="45" customWidth="1"/>
    <col min="35" max="35" width="17.42578125" style="45" customWidth="1"/>
    <col min="36" max="36" width="16.85546875" style="45" customWidth="1"/>
    <col min="37" max="37" width="21.85546875" style="45" customWidth="1"/>
    <col min="38" max="38" width="11.42578125" style="45"/>
    <col min="39" max="39" width="15.85546875" style="45" customWidth="1"/>
    <col min="40" max="43" width="11.42578125" style="45"/>
    <col min="44" max="44" width="15.7109375" style="45" customWidth="1"/>
    <col min="45" max="46" width="11.42578125" style="45"/>
    <col min="47" max="47" width="15.7109375" style="45" customWidth="1"/>
    <col min="48" max="49" width="11.42578125" style="45"/>
    <col min="50" max="50" width="15.28515625" style="45" customWidth="1"/>
    <col min="51" max="51" width="19.28515625" style="45" customWidth="1"/>
    <col min="52" max="54" width="11.42578125" style="45"/>
    <col min="55" max="55" width="17.42578125" style="45" customWidth="1"/>
    <col min="56" max="56" width="14.28515625" style="45" customWidth="1"/>
    <col min="57" max="57" width="11.42578125" style="45"/>
    <col min="58" max="58" width="18.42578125" style="45" customWidth="1"/>
    <col min="59" max="16384" width="11.42578125" style="45"/>
  </cols>
  <sheetData>
    <row r="1" spans="1:103" s="215" customFormat="1" ht="24.75" customHeight="1" thickBot="1">
      <c r="A1" s="215" t="s">
        <v>139</v>
      </c>
      <c r="C1" s="243"/>
      <c r="D1" s="243"/>
      <c r="E1" s="243"/>
      <c r="F1" s="243"/>
      <c r="H1" s="243"/>
      <c r="I1" s="243"/>
      <c r="L1" s="243"/>
    </row>
    <row r="2" spans="1:103" s="52" customFormat="1" ht="18.75" customHeight="1" thickBot="1">
      <c r="A2" s="606" t="str">
        <f>+Ficha!A4:B4</f>
        <v>RED</v>
      </c>
      <c r="B2" s="607">
        <f>+Ficha!B4:C4</f>
        <v>0</v>
      </c>
      <c r="C2" s="660" t="str">
        <f>+Ficha!C4:D4</f>
        <v>RED MOYOBAMBA</v>
      </c>
      <c r="D2" s="661"/>
      <c r="E2" s="661"/>
      <c r="F2" s="661"/>
      <c r="G2" s="661"/>
      <c r="H2" s="661"/>
      <c r="I2" s="661"/>
      <c r="J2" s="661"/>
      <c r="K2" s="662"/>
      <c r="L2" s="250"/>
      <c r="AB2" s="124" t="s">
        <v>74</v>
      </c>
      <c r="AC2" s="124" t="s">
        <v>264</v>
      </c>
      <c r="AD2" s="124" t="s">
        <v>265</v>
      </c>
      <c r="AE2" s="124" t="s">
        <v>266</v>
      </c>
      <c r="AF2" s="124" t="s">
        <v>267</v>
      </c>
      <c r="AG2" s="124" t="s">
        <v>268</v>
      </c>
      <c r="AH2" s="124" t="s">
        <v>271</v>
      </c>
      <c r="AI2" s="124" t="s">
        <v>272</v>
      </c>
      <c r="AJ2" s="124" t="s">
        <v>273</v>
      </c>
      <c r="AK2" s="124" t="s">
        <v>274</v>
      </c>
    </row>
    <row r="3" spans="1:103" ht="13.5" thickBot="1">
      <c r="Q3" s="132" t="s">
        <v>277</v>
      </c>
    </row>
    <row r="4" spans="1:103" ht="16.5" thickBot="1">
      <c r="A4" s="645" t="s">
        <v>408</v>
      </c>
      <c r="B4" s="646"/>
      <c r="C4" s="646"/>
      <c r="D4" s="647"/>
      <c r="F4" s="666" t="s">
        <v>115</v>
      </c>
      <c r="G4" s="667"/>
      <c r="H4" s="667"/>
      <c r="I4" s="668"/>
      <c r="J4" s="59"/>
      <c r="K4" s="59"/>
      <c r="Q4" s="634" t="s">
        <v>269</v>
      </c>
      <c r="R4" s="635"/>
      <c r="S4" s="635"/>
      <c r="T4" s="635"/>
      <c r="U4" s="634" t="s">
        <v>270</v>
      </c>
      <c r="V4" s="635"/>
      <c r="W4" s="634" t="s">
        <v>276</v>
      </c>
      <c r="X4" s="635"/>
      <c r="Y4" s="635"/>
      <c r="Z4" s="124" t="s">
        <v>275</v>
      </c>
    </row>
    <row r="5" spans="1:103" ht="34.5" customHeight="1" thickBot="1">
      <c r="A5" s="663" t="s">
        <v>114</v>
      </c>
      <c r="B5" s="664"/>
      <c r="C5" s="216" t="s">
        <v>138</v>
      </c>
      <c r="D5" s="217" t="s">
        <v>79</v>
      </c>
      <c r="F5" s="669"/>
      <c r="G5" s="670"/>
      <c r="H5" s="241">
        <v>2022</v>
      </c>
      <c r="I5" s="242">
        <v>2023</v>
      </c>
      <c r="J5" s="93"/>
      <c r="K5" s="93"/>
      <c r="Q5" s="124" t="s">
        <v>74</v>
      </c>
      <c r="R5" s="124" t="s">
        <v>264</v>
      </c>
      <c r="S5" s="124" t="s">
        <v>265</v>
      </c>
      <c r="T5" s="124" t="s">
        <v>266</v>
      </c>
      <c r="U5" s="124" t="s">
        <v>267</v>
      </c>
      <c r="V5" s="124" t="s">
        <v>268</v>
      </c>
      <c r="W5" s="124" t="s">
        <v>271</v>
      </c>
      <c r="X5" s="124" t="s">
        <v>272</v>
      </c>
      <c r="Y5" s="124" t="s">
        <v>273</v>
      </c>
      <c r="Z5" s="124" t="s">
        <v>274</v>
      </c>
      <c r="AB5" s="45" t="s">
        <v>288</v>
      </c>
      <c r="AD5" s="45">
        <v>2012</v>
      </c>
      <c r="AM5" s="45">
        <v>2013</v>
      </c>
      <c r="BI5" s="57"/>
      <c r="BJ5" s="57"/>
      <c r="BK5" s="57"/>
      <c r="BL5" s="57"/>
      <c r="BM5" s="57"/>
      <c r="BN5" s="57"/>
      <c r="BO5" s="57"/>
      <c r="BP5" s="57"/>
      <c r="BQ5" s="57"/>
      <c r="BR5" s="57"/>
      <c r="BT5" s="57"/>
      <c r="BU5" s="57"/>
      <c r="BV5" s="57"/>
      <c r="BW5" s="57"/>
      <c r="BX5" s="57"/>
      <c r="BY5" s="57"/>
      <c r="BZ5" s="57"/>
      <c r="CA5" s="57"/>
      <c r="CB5" s="57"/>
      <c r="CC5" s="57"/>
      <c r="CE5" s="57"/>
      <c r="CF5" s="57"/>
      <c r="CG5" s="57"/>
      <c r="CH5" s="57"/>
      <c r="CI5" s="57"/>
      <c r="CJ5" s="57"/>
      <c r="CK5" s="57"/>
      <c r="CL5" s="57"/>
      <c r="CM5" s="57"/>
      <c r="CN5" s="57"/>
      <c r="CP5" s="124" t="s">
        <v>74</v>
      </c>
      <c r="CQ5" s="124" t="s">
        <v>264</v>
      </c>
      <c r="CR5" s="124" t="s">
        <v>265</v>
      </c>
      <c r="CS5" s="124" t="s">
        <v>266</v>
      </c>
      <c r="CT5" s="124" t="s">
        <v>267</v>
      </c>
      <c r="CU5" s="124" t="s">
        <v>268</v>
      </c>
      <c r="CV5" s="124" t="s">
        <v>271</v>
      </c>
      <c r="CW5" s="124" t="s">
        <v>272</v>
      </c>
      <c r="CX5" s="124" t="s">
        <v>273</v>
      </c>
      <c r="CY5" s="124" t="s">
        <v>274</v>
      </c>
    </row>
    <row r="6" spans="1:103" ht="18" customHeight="1" thickBot="1">
      <c r="A6" s="640" t="s">
        <v>97</v>
      </c>
      <c r="B6" s="665"/>
      <c r="C6" s="252"/>
      <c r="D6" s="253">
        <v>1500</v>
      </c>
      <c r="F6" s="638" t="s">
        <v>149</v>
      </c>
      <c r="G6" s="639"/>
      <c r="H6" s="245"/>
      <c r="I6" s="74"/>
      <c r="J6" s="60"/>
      <c r="K6" s="93"/>
      <c r="Q6" s="126">
        <v>3269</v>
      </c>
      <c r="R6" s="53">
        <v>1574</v>
      </c>
      <c r="S6" s="53">
        <v>923</v>
      </c>
      <c r="T6" s="53">
        <v>947</v>
      </c>
      <c r="U6" s="53">
        <v>2771</v>
      </c>
      <c r="V6" s="127">
        <v>2466</v>
      </c>
      <c r="W6" s="53">
        <v>1203</v>
      </c>
      <c r="X6" s="53">
        <v>519</v>
      </c>
      <c r="Y6" s="53">
        <v>1274</v>
      </c>
      <c r="Z6" s="53">
        <v>1295</v>
      </c>
      <c r="AB6" s="86">
        <v>62403</v>
      </c>
      <c r="AC6" s="86">
        <v>62740</v>
      </c>
      <c r="AD6" s="125">
        <v>13557</v>
      </c>
      <c r="AE6" s="150"/>
      <c r="AF6" s="147">
        <v>68453</v>
      </c>
      <c r="AG6" s="86">
        <v>32210</v>
      </c>
      <c r="AH6" s="86">
        <v>33523</v>
      </c>
      <c r="AI6" s="86">
        <v>11373</v>
      </c>
      <c r="AJ6" s="86">
        <v>73624</v>
      </c>
      <c r="AK6" s="86">
        <v>40434</v>
      </c>
      <c r="AM6" s="94">
        <v>80436</v>
      </c>
      <c r="AN6" s="94">
        <v>72758</v>
      </c>
      <c r="AO6" s="125">
        <v>4411</v>
      </c>
      <c r="AP6" s="150"/>
      <c r="AQ6" s="94">
        <v>98426</v>
      </c>
      <c r="AR6" s="94">
        <v>6627</v>
      </c>
      <c r="AS6" s="142">
        <v>46409</v>
      </c>
      <c r="AT6" s="142">
        <v>22745</v>
      </c>
      <c r="AU6" s="94">
        <v>36808</v>
      </c>
      <c r="AV6" s="94">
        <v>42260</v>
      </c>
      <c r="AZ6" s="138"/>
      <c r="BC6" s="138"/>
      <c r="BK6" s="138"/>
      <c r="BN6" s="138"/>
      <c r="BV6" s="138"/>
      <c r="BY6" s="138"/>
      <c r="CG6" s="138"/>
      <c r="CJ6" s="138"/>
    </row>
    <row r="7" spans="1:103" ht="18" customHeight="1" thickBot="1">
      <c r="A7" s="628" t="s">
        <v>98</v>
      </c>
      <c r="B7" s="629"/>
      <c r="C7" s="254"/>
      <c r="D7" s="253"/>
      <c r="F7" s="638" t="s">
        <v>177</v>
      </c>
      <c r="G7" s="639"/>
      <c r="H7" s="245"/>
      <c r="I7" s="74"/>
      <c r="Q7" s="126">
        <v>3197</v>
      </c>
      <c r="R7" s="54">
        <v>1542</v>
      </c>
      <c r="S7" s="54">
        <v>891</v>
      </c>
      <c r="T7" s="54">
        <v>961</v>
      </c>
      <c r="U7" s="54">
        <v>2914</v>
      </c>
      <c r="V7" s="128">
        <v>2664</v>
      </c>
      <c r="W7" s="54">
        <v>1154</v>
      </c>
      <c r="X7" s="54">
        <v>511</v>
      </c>
      <c r="Y7" s="54">
        <v>1251</v>
      </c>
      <c r="Z7" s="54">
        <v>1337</v>
      </c>
      <c r="AD7" s="138"/>
      <c r="AG7" s="138"/>
      <c r="AM7" s="95">
        <v>3684</v>
      </c>
      <c r="AN7" s="95">
        <v>73452</v>
      </c>
      <c r="AO7" s="125">
        <v>37102</v>
      </c>
      <c r="AP7" s="150"/>
      <c r="AQ7" s="95">
        <v>142171</v>
      </c>
      <c r="AR7" s="95">
        <v>7943</v>
      </c>
      <c r="AS7" s="95">
        <v>23749</v>
      </c>
      <c r="AT7" s="143">
        <v>20178</v>
      </c>
      <c r="AU7" s="91">
        <v>40074</v>
      </c>
      <c r="AV7" s="95">
        <v>35187</v>
      </c>
      <c r="AZ7" s="138"/>
      <c r="BC7" s="138"/>
      <c r="BK7" s="138"/>
      <c r="BN7" s="138"/>
      <c r="BV7" s="138"/>
      <c r="BY7" s="138"/>
      <c r="CG7" s="138"/>
      <c r="CJ7" s="138"/>
    </row>
    <row r="8" spans="1:103" ht="18" customHeight="1">
      <c r="A8" s="628" t="s">
        <v>101</v>
      </c>
      <c r="B8" s="629"/>
      <c r="C8" s="254"/>
      <c r="D8" s="253"/>
      <c r="Q8" s="126">
        <v>9299</v>
      </c>
      <c r="R8" s="54">
        <v>4527</v>
      </c>
      <c r="S8" s="54">
        <v>2567</v>
      </c>
      <c r="T8" s="54">
        <v>2932</v>
      </c>
      <c r="U8" s="54">
        <v>9358</v>
      </c>
      <c r="V8" s="128">
        <v>8817</v>
      </c>
      <c r="W8" s="54">
        <v>3302</v>
      </c>
      <c r="X8" s="54">
        <v>1525</v>
      </c>
      <c r="Y8" s="54">
        <v>3664</v>
      </c>
      <c r="Z8" s="54">
        <v>4185</v>
      </c>
    </row>
    <row r="9" spans="1:103" ht="18" customHeight="1" thickBot="1">
      <c r="A9" s="628" t="s">
        <v>100</v>
      </c>
      <c r="B9" s="629"/>
      <c r="C9" s="254"/>
      <c r="D9" s="253"/>
      <c r="F9" s="59"/>
      <c r="G9" s="89"/>
      <c r="H9" s="59"/>
      <c r="I9" s="59"/>
      <c r="J9" s="90"/>
      <c r="K9" s="90"/>
      <c r="Q9" s="126">
        <v>21470</v>
      </c>
      <c r="R9" s="54">
        <v>10627</v>
      </c>
      <c r="S9" s="54">
        <v>6016</v>
      </c>
      <c r="T9" s="54">
        <v>6741</v>
      </c>
      <c r="U9" s="54">
        <v>22630</v>
      </c>
      <c r="V9" s="128">
        <v>21715</v>
      </c>
      <c r="W9" s="54">
        <v>7785</v>
      </c>
      <c r="X9" s="54">
        <v>3610</v>
      </c>
      <c r="Y9" s="54">
        <v>8211</v>
      </c>
      <c r="Z9" s="54">
        <v>10116</v>
      </c>
    </row>
    <row r="10" spans="1:103" ht="18" customHeight="1" thickBot="1">
      <c r="A10" s="628" t="s">
        <v>99</v>
      </c>
      <c r="B10" s="629"/>
      <c r="C10" s="254"/>
      <c r="D10" s="253"/>
      <c r="F10" s="220" t="s">
        <v>157</v>
      </c>
      <c r="G10" s="221"/>
      <c r="H10" s="221"/>
      <c r="I10" s="221"/>
      <c r="J10" s="221"/>
      <c r="K10" s="221"/>
      <c r="L10" s="222"/>
      <c r="Q10" s="126">
        <v>20134</v>
      </c>
      <c r="R10" s="54">
        <v>8395</v>
      </c>
      <c r="S10" s="54">
        <v>4411</v>
      </c>
      <c r="T10" s="54">
        <v>4983</v>
      </c>
      <c r="U10" s="54">
        <v>16897</v>
      </c>
      <c r="V10" s="128">
        <v>15776</v>
      </c>
      <c r="W10" s="54">
        <v>6331</v>
      </c>
      <c r="X10" s="54">
        <v>2758</v>
      </c>
      <c r="Y10" s="54">
        <v>6093</v>
      </c>
      <c r="Z10" s="54">
        <v>8410</v>
      </c>
    </row>
    <row r="11" spans="1:103" ht="18" customHeight="1" thickBot="1">
      <c r="A11" s="628" t="s">
        <v>102</v>
      </c>
      <c r="B11" s="629"/>
      <c r="C11" s="254"/>
      <c r="D11" s="253"/>
      <c r="F11" s="223"/>
      <c r="G11" s="224"/>
      <c r="H11" s="218" t="s">
        <v>105</v>
      </c>
      <c r="I11" s="218" t="s">
        <v>144</v>
      </c>
      <c r="J11" s="218" t="s">
        <v>153</v>
      </c>
      <c r="K11" s="218" t="s">
        <v>106</v>
      </c>
      <c r="L11" s="219" t="s">
        <v>113</v>
      </c>
      <c r="Q11" s="126">
        <v>39979</v>
      </c>
      <c r="R11" s="54">
        <v>14547</v>
      </c>
      <c r="S11" s="54">
        <v>7480</v>
      </c>
      <c r="T11" s="54">
        <v>8774</v>
      </c>
      <c r="U11" s="54">
        <v>30145</v>
      </c>
      <c r="V11" s="128">
        <v>26982</v>
      </c>
      <c r="W11" s="54">
        <v>10506</v>
      </c>
      <c r="X11" s="54">
        <v>4865</v>
      </c>
      <c r="Y11" s="54">
        <v>11076</v>
      </c>
      <c r="Z11" s="54">
        <v>15910</v>
      </c>
      <c r="AB11" s="45" t="s">
        <v>289</v>
      </c>
      <c r="AM11" s="45" t="s">
        <v>289</v>
      </c>
      <c r="AX11" s="45" t="s">
        <v>289</v>
      </c>
      <c r="BI11" s="45" t="s">
        <v>289</v>
      </c>
    </row>
    <row r="12" spans="1:103" ht="18" customHeight="1">
      <c r="A12" s="628" t="s">
        <v>103</v>
      </c>
      <c r="B12" s="629"/>
      <c r="C12" s="254"/>
      <c r="D12" s="253"/>
      <c r="E12" s="255"/>
      <c r="F12" s="256" t="s">
        <v>193</v>
      </c>
      <c r="G12" s="238"/>
      <c r="H12" s="246"/>
      <c r="I12" s="246"/>
      <c r="J12" s="65"/>
      <c r="K12" s="66"/>
      <c r="L12" s="251">
        <f>SUM(H12:K12)</f>
        <v>0</v>
      </c>
      <c r="Q12" s="126">
        <v>71430</v>
      </c>
      <c r="R12" s="54">
        <v>26421</v>
      </c>
      <c r="S12" s="54">
        <v>12511</v>
      </c>
      <c r="T12" s="54">
        <v>16383</v>
      </c>
      <c r="U12" s="54">
        <v>48727</v>
      </c>
      <c r="V12" s="128">
        <v>45850</v>
      </c>
      <c r="W12" s="54">
        <v>20235</v>
      </c>
      <c r="X12" s="54">
        <v>9533</v>
      </c>
      <c r="Y12" s="54">
        <v>19621</v>
      </c>
      <c r="Z12" s="54">
        <v>27882</v>
      </c>
      <c r="AB12" s="65">
        <v>878</v>
      </c>
      <c r="AC12" s="65">
        <v>402</v>
      </c>
      <c r="AD12" s="65">
        <v>238</v>
      </c>
      <c r="AE12" s="65">
        <v>250</v>
      </c>
      <c r="AF12" s="65">
        <v>698</v>
      </c>
      <c r="AG12" s="65">
        <v>949</v>
      </c>
      <c r="AH12" s="65">
        <v>383</v>
      </c>
      <c r="AI12" s="85">
        <v>89.5</v>
      </c>
      <c r="AJ12" s="65">
        <v>306</v>
      </c>
      <c r="AK12" s="65">
        <v>328</v>
      </c>
      <c r="AM12" s="65">
        <v>878</v>
      </c>
      <c r="AN12" s="140">
        <v>402</v>
      </c>
      <c r="AO12" s="140">
        <v>238</v>
      </c>
      <c r="AP12" s="140">
        <v>250</v>
      </c>
      <c r="AQ12" s="65">
        <v>698</v>
      </c>
      <c r="AR12" s="65">
        <v>949</v>
      </c>
      <c r="AS12" s="65">
        <v>383</v>
      </c>
      <c r="AT12" s="85">
        <v>89.5</v>
      </c>
      <c r="AU12" s="65">
        <v>306</v>
      </c>
      <c r="AV12" s="140">
        <v>328</v>
      </c>
      <c r="AX12" s="65">
        <v>878</v>
      </c>
      <c r="AY12" s="140">
        <v>402</v>
      </c>
      <c r="AZ12" s="140">
        <v>238</v>
      </c>
      <c r="BA12" s="140">
        <v>249</v>
      </c>
      <c r="BB12" s="140">
        <v>698</v>
      </c>
      <c r="BC12" s="65">
        <v>949</v>
      </c>
      <c r="BD12" s="65">
        <v>383</v>
      </c>
      <c r="BE12" s="79">
        <v>89.5</v>
      </c>
      <c r="BF12" s="65">
        <v>306</v>
      </c>
      <c r="BG12" s="140">
        <v>328</v>
      </c>
      <c r="BI12" s="65">
        <v>878</v>
      </c>
      <c r="BJ12" s="66">
        <v>402</v>
      </c>
      <c r="BK12" s="66">
        <v>239</v>
      </c>
      <c r="BL12" s="66">
        <v>249</v>
      </c>
      <c r="BM12" s="66">
        <v>698</v>
      </c>
      <c r="BN12" s="66">
        <v>949</v>
      </c>
      <c r="BO12" s="65">
        <v>383</v>
      </c>
      <c r="BP12" s="79">
        <v>89.5</v>
      </c>
      <c r="BQ12" s="65">
        <v>306</v>
      </c>
      <c r="BR12" s="66">
        <v>328</v>
      </c>
    </row>
    <row r="13" spans="1:103" ht="18" customHeight="1" thickBot="1">
      <c r="A13" s="630" t="s">
        <v>148</v>
      </c>
      <c r="B13" s="631"/>
      <c r="C13" s="257"/>
      <c r="D13" s="253"/>
      <c r="F13" s="258" t="s">
        <v>173</v>
      </c>
      <c r="G13" s="239"/>
      <c r="H13" s="246"/>
      <c r="I13" s="246"/>
      <c r="J13" s="65"/>
      <c r="K13" s="66"/>
      <c r="L13" s="251">
        <f>SUM(H13:K13)</f>
        <v>0</v>
      </c>
      <c r="Q13" s="126">
        <v>13168</v>
      </c>
      <c r="R13" s="55">
        <v>5819</v>
      </c>
      <c r="S13" s="55">
        <v>2303</v>
      </c>
      <c r="T13" s="55">
        <v>3095</v>
      </c>
      <c r="U13" s="55">
        <v>8729</v>
      </c>
      <c r="V13" s="129">
        <v>7690</v>
      </c>
      <c r="W13" s="55">
        <v>3692</v>
      </c>
      <c r="X13" s="55">
        <v>2038</v>
      </c>
      <c r="Y13" s="55">
        <v>3467</v>
      </c>
      <c r="Z13" s="55">
        <v>3958</v>
      </c>
      <c r="AB13" s="85">
        <v>698</v>
      </c>
      <c r="AC13" s="85">
        <v>402</v>
      </c>
      <c r="AD13" s="85">
        <v>174</v>
      </c>
      <c r="AE13" s="65">
        <v>250</v>
      </c>
      <c r="AF13" s="85">
        <v>593</v>
      </c>
      <c r="AG13" s="85">
        <v>826</v>
      </c>
      <c r="AH13" s="85">
        <v>365</v>
      </c>
      <c r="AI13" s="85">
        <v>89.5</v>
      </c>
      <c r="AJ13" s="85">
        <v>283</v>
      </c>
      <c r="AK13" s="85">
        <v>328</v>
      </c>
      <c r="AM13" s="79">
        <v>698</v>
      </c>
      <c r="AN13" s="79">
        <v>402</v>
      </c>
      <c r="AO13" s="79">
        <v>174</v>
      </c>
      <c r="AP13" s="140">
        <v>250</v>
      </c>
      <c r="AQ13" s="85">
        <v>593</v>
      </c>
      <c r="AR13" s="85">
        <v>826</v>
      </c>
      <c r="AS13" s="85">
        <v>365</v>
      </c>
      <c r="AT13" s="85">
        <v>89.5</v>
      </c>
      <c r="AU13" s="85">
        <v>283</v>
      </c>
      <c r="AV13" s="140">
        <v>328</v>
      </c>
      <c r="AX13" s="79">
        <v>698</v>
      </c>
      <c r="AY13" s="79">
        <v>402</v>
      </c>
      <c r="AZ13" s="79">
        <v>174</v>
      </c>
      <c r="BA13" s="140">
        <v>249</v>
      </c>
      <c r="BB13" s="79">
        <v>594</v>
      </c>
      <c r="BC13" s="85">
        <v>826</v>
      </c>
      <c r="BD13" s="85">
        <v>365</v>
      </c>
      <c r="BE13" s="79">
        <v>89.5</v>
      </c>
      <c r="BF13" s="85">
        <v>283</v>
      </c>
      <c r="BG13" s="140">
        <v>328</v>
      </c>
      <c r="BI13" s="79">
        <v>698</v>
      </c>
      <c r="BJ13" s="79">
        <v>402</v>
      </c>
      <c r="BK13" s="79">
        <v>177</v>
      </c>
      <c r="BL13" s="66">
        <v>249</v>
      </c>
      <c r="BM13" s="79">
        <v>593</v>
      </c>
      <c r="BN13" s="79">
        <v>826</v>
      </c>
      <c r="BO13" s="85">
        <v>365</v>
      </c>
      <c r="BP13" s="79">
        <v>89.5</v>
      </c>
      <c r="BQ13" s="85">
        <v>283</v>
      </c>
      <c r="BR13" s="66">
        <v>328</v>
      </c>
    </row>
    <row r="14" spans="1:103" ht="18" customHeight="1" thickBot="1">
      <c r="A14" s="643" t="s">
        <v>113</v>
      </c>
      <c r="B14" s="644"/>
      <c r="C14" s="228">
        <f>SUM(C6:C13)</f>
        <v>0</v>
      </c>
      <c r="D14" s="259">
        <f>SUM(D6:D13)</f>
        <v>1500</v>
      </c>
      <c r="F14" s="260" t="s">
        <v>175</v>
      </c>
      <c r="G14" s="240"/>
      <c r="H14" s="246"/>
      <c r="I14" s="246"/>
      <c r="J14" s="65"/>
      <c r="K14" s="66"/>
      <c r="L14" s="251">
        <f>SUM(H14:K14)</f>
        <v>0</v>
      </c>
      <c r="Q14" s="131">
        <f t="shared" ref="Q14:Z14" si="0">SUM(Q6:Q13)</f>
        <v>181946</v>
      </c>
      <c r="R14" s="131">
        <f t="shared" si="0"/>
        <v>73452</v>
      </c>
      <c r="S14" s="131">
        <f t="shared" si="0"/>
        <v>37102</v>
      </c>
      <c r="T14" s="131">
        <f t="shared" si="0"/>
        <v>44816</v>
      </c>
      <c r="U14" s="131">
        <f t="shared" si="0"/>
        <v>142171</v>
      </c>
      <c r="V14" s="131">
        <f t="shared" si="0"/>
        <v>131960</v>
      </c>
      <c r="W14" s="131">
        <f t="shared" si="0"/>
        <v>54208</v>
      </c>
      <c r="X14" s="131">
        <f t="shared" si="0"/>
        <v>25359</v>
      </c>
      <c r="Y14" s="131">
        <f t="shared" si="0"/>
        <v>54657</v>
      </c>
      <c r="Z14" s="131">
        <f t="shared" si="0"/>
        <v>73093</v>
      </c>
      <c r="AB14" s="83">
        <v>835</v>
      </c>
      <c r="AC14" s="83">
        <v>393</v>
      </c>
      <c r="AD14" s="83">
        <v>174</v>
      </c>
      <c r="AE14" s="65">
        <v>250</v>
      </c>
      <c r="AF14" s="83">
        <v>593</v>
      </c>
      <c r="AG14" s="83">
        <v>826</v>
      </c>
      <c r="AH14" s="83">
        <v>365</v>
      </c>
      <c r="AI14" s="85">
        <v>99.25</v>
      </c>
      <c r="AJ14" s="83">
        <v>283</v>
      </c>
      <c r="AK14" s="83">
        <v>328</v>
      </c>
      <c r="AM14" s="84">
        <v>835</v>
      </c>
      <c r="AN14" s="84">
        <v>393</v>
      </c>
      <c r="AO14" s="84">
        <v>174</v>
      </c>
      <c r="AP14" s="140">
        <v>250</v>
      </c>
      <c r="AQ14" s="83">
        <v>593</v>
      </c>
      <c r="AR14" s="83">
        <v>826</v>
      </c>
      <c r="AS14" s="83">
        <v>365</v>
      </c>
      <c r="AT14" s="85">
        <v>99.25</v>
      </c>
      <c r="AU14" s="83">
        <v>283</v>
      </c>
      <c r="AV14" s="140">
        <v>328</v>
      </c>
      <c r="AX14" s="84">
        <v>835</v>
      </c>
      <c r="AY14" s="84">
        <v>394</v>
      </c>
      <c r="AZ14" s="84">
        <v>174</v>
      </c>
      <c r="BA14" s="140">
        <v>249</v>
      </c>
      <c r="BB14" s="84">
        <v>594</v>
      </c>
      <c r="BC14" s="83">
        <v>826</v>
      </c>
      <c r="BD14" s="83">
        <v>365</v>
      </c>
      <c r="BE14" s="85">
        <v>99.25</v>
      </c>
      <c r="BF14" s="83">
        <v>283</v>
      </c>
      <c r="BG14" s="140">
        <v>328</v>
      </c>
      <c r="BI14" s="84">
        <v>835</v>
      </c>
      <c r="BJ14" s="84">
        <v>394</v>
      </c>
      <c r="BK14" s="84">
        <v>177</v>
      </c>
      <c r="BL14" s="66">
        <v>249</v>
      </c>
      <c r="BM14" s="84">
        <v>593</v>
      </c>
      <c r="BN14" s="84">
        <v>826</v>
      </c>
      <c r="BO14" s="83">
        <v>365</v>
      </c>
      <c r="BP14" s="85">
        <v>99.25</v>
      </c>
      <c r="BQ14" s="83">
        <v>283</v>
      </c>
      <c r="BR14" s="66">
        <v>328</v>
      </c>
    </row>
    <row r="15" spans="1:103" ht="18" customHeight="1" thickBot="1">
      <c r="A15" s="62"/>
      <c r="B15" s="62"/>
      <c r="C15" s="63"/>
      <c r="D15" s="63"/>
    </row>
    <row r="16" spans="1:103" ht="18" customHeight="1" thickBot="1">
      <c r="A16" s="225" t="s">
        <v>167</v>
      </c>
      <c r="B16" s="106"/>
      <c r="C16" s="63"/>
      <c r="D16" s="63"/>
      <c r="P16" s="57" t="s">
        <v>278</v>
      </c>
      <c r="Q16" s="130">
        <v>8</v>
      </c>
      <c r="R16" s="125">
        <v>6</v>
      </c>
      <c r="S16" s="125">
        <v>3</v>
      </c>
      <c r="T16" s="125">
        <v>3</v>
      </c>
      <c r="U16" s="125">
        <v>8</v>
      </c>
      <c r="V16" s="125">
        <v>8</v>
      </c>
      <c r="W16" s="169"/>
      <c r="X16" s="125">
        <v>2</v>
      </c>
      <c r="Y16" s="170"/>
      <c r="Z16" s="125">
        <v>4</v>
      </c>
    </row>
    <row r="17" spans="1:59" ht="13.5" thickBot="1"/>
    <row r="18" spans="1:59" ht="16.5" thickBot="1">
      <c r="A18" s="645" t="s">
        <v>159</v>
      </c>
      <c r="B18" s="646"/>
      <c r="C18" s="646"/>
      <c r="D18" s="646"/>
      <c r="E18" s="646"/>
      <c r="F18" s="647"/>
      <c r="AM18" s="124" t="s">
        <v>74</v>
      </c>
      <c r="AN18" s="124" t="s">
        <v>264</v>
      </c>
      <c r="AO18" s="124" t="s">
        <v>265</v>
      </c>
      <c r="AP18" s="124" t="s">
        <v>266</v>
      </c>
      <c r="AQ18" s="124" t="s">
        <v>267</v>
      </c>
      <c r="AR18" s="124" t="s">
        <v>268</v>
      </c>
      <c r="AS18" s="124" t="s">
        <v>271</v>
      </c>
      <c r="AT18" s="124" t="s">
        <v>272</v>
      </c>
      <c r="AU18" s="124" t="s">
        <v>273</v>
      </c>
      <c r="AV18" s="124" t="s">
        <v>274</v>
      </c>
      <c r="AX18" s="124" t="s">
        <v>74</v>
      </c>
      <c r="AY18" s="124" t="s">
        <v>264</v>
      </c>
      <c r="AZ18" s="124" t="s">
        <v>265</v>
      </c>
      <c r="BA18" s="124" t="s">
        <v>266</v>
      </c>
      <c r="BB18" s="124" t="s">
        <v>267</v>
      </c>
      <c r="BC18" s="124" t="s">
        <v>268</v>
      </c>
      <c r="BD18" s="124" t="s">
        <v>271</v>
      </c>
      <c r="BE18" s="124" t="s">
        <v>272</v>
      </c>
      <c r="BF18" s="124" t="s">
        <v>273</v>
      </c>
      <c r="BG18" s="124" t="s">
        <v>274</v>
      </c>
    </row>
    <row r="19" spans="1:59" ht="15.75" thickBot="1">
      <c r="A19" s="648" t="s">
        <v>116</v>
      </c>
      <c r="B19" s="649"/>
      <c r="C19" s="226" t="s">
        <v>105</v>
      </c>
      <c r="D19" s="227" t="s">
        <v>144</v>
      </c>
      <c r="E19" s="227" t="s">
        <v>153</v>
      </c>
      <c r="F19" s="217" t="s">
        <v>106</v>
      </c>
      <c r="P19" s="57" t="s">
        <v>279</v>
      </c>
      <c r="Q19" s="636" t="s">
        <v>131</v>
      </c>
      <c r="R19" s="637"/>
      <c r="S19" s="637"/>
      <c r="T19" s="637"/>
      <c r="U19" s="637"/>
      <c r="V19" s="637"/>
      <c r="W19" s="637"/>
      <c r="X19" s="637"/>
      <c r="Y19" s="637"/>
      <c r="Z19" s="637"/>
      <c r="AB19" s="636" t="s">
        <v>132</v>
      </c>
      <c r="AC19" s="637"/>
      <c r="AD19" s="637"/>
      <c r="AE19" s="637"/>
      <c r="AF19" s="637"/>
      <c r="AG19" s="637"/>
      <c r="AH19" s="637"/>
      <c r="AI19" s="637"/>
      <c r="AJ19" s="637"/>
      <c r="AK19" s="637"/>
      <c r="AM19" s="632" t="s">
        <v>133</v>
      </c>
      <c r="AN19" s="633"/>
      <c r="AO19" s="633"/>
      <c r="AP19" s="633"/>
      <c r="AQ19" s="633"/>
      <c r="AR19" s="633"/>
      <c r="AS19" s="633"/>
      <c r="AT19" s="633"/>
      <c r="AU19" s="633"/>
      <c r="AV19" s="633"/>
      <c r="AX19" s="632" t="s">
        <v>134</v>
      </c>
      <c r="AY19" s="633"/>
      <c r="AZ19" s="633"/>
      <c r="BA19" s="633"/>
      <c r="BB19" s="633"/>
      <c r="BC19" s="633"/>
      <c r="BD19" s="633"/>
      <c r="BE19" s="633"/>
      <c r="BF19" s="633"/>
      <c r="BG19" s="633"/>
    </row>
    <row r="20" spans="1:59" ht="17.25" customHeight="1">
      <c r="A20" s="640" t="s">
        <v>160</v>
      </c>
      <c r="B20" s="641"/>
      <c r="C20" s="70"/>
      <c r="D20" s="71"/>
      <c r="E20" s="71"/>
      <c r="F20" s="72"/>
      <c r="Q20" s="74">
        <v>36</v>
      </c>
      <c r="R20" s="70">
        <v>55</v>
      </c>
      <c r="S20" s="70">
        <v>16</v>
      </c>
      <c r="T20" s="72">
        <v>22</v>
      </c>
      <c r="U20" s="72">
        <v>23</v>
      </c>
      <c r="V20" s="74">
        <v>33</v>
      </c>
      <c r="W20" s="125">
        <v>32</v>
      </c>
      <c r="X20" s="70">
        <v>13</v>
      </c>
      <c r="Y20" s="70">
        <v>23</v>
      </c>
      <c r="Z20" s="70">
        <v>22</v>
      </c>
      <c r="AB20" s="70">
        <v>36</v>
      </c>
      <c r="AC20" s="71">
        <v>55</v>
      </c>
      <c r="AD20" s="71">
        <v>16</v>
      </c>
      <c r="AE20" s="72">
        <v>22</v>
      </c>
      <c r="AF20" s="125">
        <v>23</v>
      </c>
      <c r="AG20" s="74">
        <v>33</v>
      </c>
      <c r="AH20" s="125">
        <v>33</v>
      </c>
      <c r="AI20" s="70">
        <v>13</v>
      </c>
      <c r="AJ20" s="125">
        <v>23</v>
      </c>
      <c r="AK20" s="71">
        <v>22</v>
      </c>
      <c r="AM20" s="74">
        <v>36</v>
      </c>
      <c r="AN20" s="125">
        <v>55</v>
      </c>
      <c r="AO20" s="71">
        <v>16</v>
      </c>
      <c r="AP20" s="72">
        <v>22</v>
      </c>
      <c r="AQ20" s="125">
        <v>23</v>
      </c>
      <c r="AR20" s="74">
        <v>33</v>
      </c>
      <c r="AS20" s="125">
        <v>33</v>
      </c>
      <c r="AT20" s="125">
        <v>13</v>
      </c>
      <c r="AU20" s="70">
        <v>23</v>
      </c>
      <c r="AV20" s="71">
        <v>22</v>
      </c>
      <c r="AX20" s="74">
        <v>36</v>
      </c>
      <c r="AY20" s="125">
        <v>55</v>
      </c>
      <c r="AZ20" s="72">
        <v>16</v>
      </c>
      <c r="BA20" s="72">
        <v>22</v>
      </c>
      <c r="BB20" s="125">
        <v>23</v>
      </c>
      <c r="BC20" s="74">
        <v>33</v>
      </c>
      <c r="BD20" s="125">
        <v>32</v>
      </c>
      <c r="BE20" s="125">
        <v>13</v>
      </c>
      <c r="BF20" s="70">
        <v>23</v>
      </c>
      <c r="BG20" s="72">
        <v>23</v>
      </c>
    </row>
    <row r="21" spans="1:59" ht="17.25" customHeight="1">
      <c r="A21" s="628" t="s">
        <v>161</v>
      </c>
      <c r="B21" s="642"/>
      <c r="C21" s="70"/>
      <c r="D21" s="71"/>
      <c r="E21" s="71"/>
      <c r="F21" s="72"/>
      <c r="Q21" s="74">
        <v>2</v>
      </c>
      <c r="R21" s="73">
        <v>2</v>
      </c>
      <c r="S21" s="73">
        <v>1</v>
      </c>
      <c r="T21" s="75">
        <v>1</v>
      </c>
      <c r="U21" s="75">
        <v>3</v>
      </c>
      <c r="V21" s="74">
        <v>4</v>
      </c>
      <c r="W21" s="125">
        <v>0</v>
      </c>
      <c r="X21" s="73">
        <v>2</v>
      </c>
      <c r="Y21" s="73">
        <v>4</v>
      </c>
      <c r="Z21" s="73">
        <v>4</v>
      </c>
      <c r="AB21" s="73">
        <v>2</v>
      </c>
      <c r="AC21" s="74">
        <v>2</v>
      </c>
      <c r="AD21" s="74">
        <v>1</v>
      </c>
      <c r="AE21" s="75">
        <v>1</v>
      </c>
      <c r="AF21" s="125">
        <v>3</v>
      </c>
      <c r="AG21" s="74">
        <v>4</v>
      </c>
      <c r="AH21" s="125">
        <v>0</v>
      </c>
      <c r="AI21" s="73">
        <v>2</v>
      </c>
      <c r="AJ21" s="125">
        <v>4</v>
      </c>
      <c r="AK21" s="74">
        <v>4</v>
      </c>
      <c r="AM21" s="74">
        <v>2</v>
      </c>
      <c r="AN21" s="125">
        <v>2</v>
      </c>
      <c r="AO21" s="74">
        <v>1</v>
      </c>
      <c r="AP21" s="75">
        <v>1</v>
      </c>
      <c r="AQ21" s="125">
        <v>3</v>
      </c>
      <c r="AR21" s="74">
        <v>4</v>
      </c>
      <c r="AS21" s="125">
        <v>0</v>
      </c>
      <c r="AT21" s="125">
        <v>2</v>
      </c>
      <c r="AU21" s="73">
        <v>4</v>
      </c>
      <c r="AV21" s="74">
        <v>4</v>
      </c>
      <c r="AX21" s="74">
        <v>2</v>
      </c>
      <c r="AY21" s="125">
        <v>2</v>
      </c>
      <c r="AZ21" s="75">
        <v>1</v>
      </c>
      <c r="BA21" s="75">
        <v>1</v>
      </c>
      <c r="BB21" s="125">
        <v>3</v>
      </c>
      <c r="BC21" s="74">
        <v>4</v>
      </c>
      <c r="BD21" s="125">
        <v>0</v>
      </c>
      <c r="BE21" s="125">
        <v>2</v>
      </c>
      <c r="BF21" s="73">
        <v>4</v>
      </c>
      <c r="BG21" s="75">
        <v>4</v>
      </c>
    </row>
    <row r="22" spans="1:59" ht="17.25" customHeight="1">
      <c r="A22" s="628" t="s">
        <v>165</v>
      </c>
      <c r="B22" s="642"/>
      <c r="C22" s="70"/>
      <c r="D22" s="71"/>
      <c r="E22" s="71"/>
      <c r="F22" s="72"/>
      <c r="Q22" s="74">
        <v>9</v>
      </c>
      <c r="R22" s="73">
        <v>3</v>
      </c>
      <c r="S22" s="73">
        <v>0</v>
      </c>
      <c r="T22" s="75">
        <v>7</v>
      </c>
      <c r="U22" s="75">
        <v>9</v>
      </c>
      <c r="V22" s="74">
        <v>6</v>
      </c>
      <c r="W22" s="125">
        <v>2</v>
      </c>
      <c r="X22" s="73">
        <v>2</v>
      </c>
      <c r="Y22" s="73">
        <v>2</v>
      </c>
      <c r="Z22" s="73">
        <v>5</v>
      </c>
      <c r="AB22" s="73">
        <v>9</v>
      </c>
      <c r="AC22" s="74">
        <v>3</v>
      </c>
      <c r="AD22" s="74">
        <v>0</v>
      </c>
      <c r="AE22" s="75">
        <v>7</v>
      </c>
      <c r="AF22" s="125">
        <v>9</v>
      </c>
      <c r="AG22" s="74">
        <v>6</v>
      </c>
      <c r="AH22" s="125">
        <v>3</v>
      </c>
      <c r="AI22" s="73">
        <v>2</v>
      </c>
      <c r="AJ22" s="125">
        <v>2</v>
      </c>
      <c r="AK22" s="74">
        <v>5</v>
      </c>
      <c r="AM22" s="74">
        <v>9</v>
      </c>
      <c r="AN22" s="125">
        <v>3</v>
      </c>
      <c r="AO22" s="74">
        <v>0</v>
      </c>
      <c r="AP22" s="75">
        <v>7</v>
      </c>
      <c r="AQ22" s="125">
        <v>9</v>
      </c>
      <c r="AR22" s="74">
        <v>6</v>
      </c>
      <c r="AS22" s="125">
        <v>3</v>
      </c>
      <c r="AT22" s="125">
        <v>2</v>
      </c>
      <c r="AU22" s="73">
        <v>2</v>
      </c>
      <c r="AV22" s="74">
        <v>5</v>
      </c>
      <c r="AW22" s="57" t="s">
        <v>294</v>
      </c>
      <c r="AX22" s="74">
        <v>9</v>
      </c>
      <c r="AY22" s="125">
        <v>3</v>
      </c>
      <c r="AZ22" s="75">
        <v>0</v>
      </c>
      <c r="BA22" s="75">
        <v>7</v>
      </c>
      <c r="BB22" s="125">
        <v>9</v>
      </c>
      <c r="BC22" s="74">
        <v>6</v>
      </c>
      <c r="BD22" s="125">
        <v>3</v>
      </c>
      <c r="BE22" s="125">
        <v>2</v>
      </c>
      <c r="BF22" s="73">
        <v>2</v>
      </c>
      <c r="BG22" s="75">
        <v>5</v>
      </c>
    </row>
    <row r="23" spans="1:59" ht="17.25" customHeight="1">
      <c r="A23" s="628" t="s">
        <v>164</v>
      </c>
      <c r="B23" s="642"/>
      <c r="C23" s="70"/>
      <c r="D23" s="71"/>
      <c r="E23" s="71"/>
      <c r="F23" s="72"/>
      <c r="Q23" s="74">
        <v>3</v>
      </c>
      <c r="R23" s="73">
        <v>3</v>
      </c>
      <c r="S23" s="73">
        <v>2</v>
      </c>
      <c r="T23" s="75">
        <v>1</v>
      </c>
      <c r="U23" s="75">
        <v>2</v>
      </c>
      <c r="V23" s="74">
        <v>2</v>
      </c>
      <c r="W23" s="125">
        <v>1</v>
      </c>
      <c r="X23" s="73">
        <v>1</v>
      </c>
      <c r="Y23" s="73">
        <v>1</v>
      </c>
      <c r="Z23" s="73">
        <v>1</v>
      </c>
      <c r="AB23" s="73">
        <v>3</v>
      </c>
      <c r="AC23" s="74">
        <v>2</v>
      </c>
      <c r="AD23" s="74">
        <v>2</v>
      </c>
      <c r="AE23" s="75">
        <v>1</v>
      </c>
      <c r="AF23" s="125">
        <v>2</v>
      </c>
      <c r="AG23" s="74">
        <v>2</v>
      </c>
      <c r="AH23" s="125">
        <v>0</v>
      </c>
      <c r="AI23" s="73">
        <v>1</v>
      </c>
      <c r="AJ23" s="125">
        <v>1</v>
      </c>
      <c r="AK23" s="74">
        <v>1</v>
      </c>
      <c r="AM23" s="74">
        <v>3</v>
      </c>
      <c r="AN23" s="125">
        <v>2</v>
      </c>
      <c r="AO23" s="74">
        <v>2</v>
      </c>
      <c r="AP23" s="75">
        <v>1</v>
      </c>
      <c r="AQ23" s="125">
        <v>2</v>
      </c>
      <c r="AR23" s="74">
        <v>2</v>
      </c>
      <c r="AS23" s="125">
        <v>0</v>
      </c>
      <c r="AT23" s="125">
        <v>1</v>
      </c>
      <c r="AU23" s="73">
        <v>1</v>
      </c>
      <c r="AV23" s="74">
        <v>1</v>
      </c>
      <c r="AX23" s="74">
        <v>3</v>
      </c>
      <c r="AY23" s="125">
        <v>2</v>
      </c>
      <c r="AZ23" s="75">
        <v>2</v>
      </c>
      <c r="BA23" s="75">
        <v>1</v>
      </c>
      <c r="BB23" s="125">
        <v>2</v>
      </c>
      <c r="BC23" s="74">
        <v>2</v>
      </c>
      <c r="BD23" s="125">
        <v>0</v>
      </c>
      <c r="BE23" s="125">
        <v>1</v>
      </c>
      <c r="BF23" s="73">
        <v>1</v>
      </c>
      <c r="BG23" s="75">
        <v>1</v>
      </c>
    </row>
    <row r="24" spans="1:59" ht="17.25" customHeight="1">
      <c r="A24" s="232" t="s">
        <v>162</v>
      </c>
      <c r="B24" s="233"/>
      <c r="C24" s="70"/>
      <c r="D24" s="71"/>
      <c r="E24" s="71"/>
      <c r="F24" s="72"/>
      <c r="Q24" s="74">
        <v>1</v>
      </c>
      <c r="R24" s="73">
        <v>0</v>
      </c>
      <c r="S24" s="73">
        <v>0</v>
      </c>
      <c r="T24" s="75">
        <v>0</v>
      </c>
      <c r="U24" s="75">
        <v>0</v>
      </c>
      <c r="V24" s="74"/>
      <c r="W24" s="125">
        <v>0</v>
      </c>
      <c r="X24" s="73">
        <v>0</v>
      </c>
      <c r="Y24" s="73">
        <v>1</v>
      </c>
      <c r="Z24" s="73">
        <v>0</v>
      </c>
      <c r="AB24" s="73">
        <v>1</v>
      </c>
      <c r="AC24" s="74">
        <v>1</v>
      </c>
      <c r="AD24" s="74">
        <v>0</v>
      </c>
      <c r="AE24" s="75">
        <v>0</v>
      </c>
      <c r="AF24" s="125">
        <v>0</v>
      </c>
      <c r="AG24" s="74"/>
      <c r="AH24" s="125">
        <v>1</v>
      </c>
      <c r="AI24" s="73">
        <v>0</v>
      </c>
      <c r="AJ24" s="125">
        <v>1</v>
      </c>
      <c r="AK24" s="74">
        <v>0</v>
      </c>
      <c r="AM24" s="74">
        <v>1</v>
      </c>
      <c r="AN24" s="125">
        <v>1</v>
      </c>
      <c r="AO24" s="74">
        <v>0</v>
      </c>
      <c r="AP24" s="75">
        <v>0</v>
      </c>
      <c r="AQ24" s="125">
        <v>0</v>
      </c>
      <c r="AR24" s="74"/>
      <c r="AS24" s="125">
        <v>1</v>
      </c>
      <c r="AT24" s="125">
        <v>0</v>
      </c>
      <c r="AU24" s="73">
        <v>1</v>
      </c>
      <c r="AV24" s="74">
        <v>0</v>
      </c>
      <c r="AX24" s="74">
        <v>1</v>
      </c>
      <c r="AY24" s="125">
        <v>1</v>
      </c>
      <c r="AZ24" s="75">
        <v>0</v>
      </c>
      <c r="BA24" s="75">
        <v>0</v>
      </c>
      <c r="BB24" s="125">
        <v>0</v>
      </c>
      <c r="BC24" s="74"/>
      <c r="BD24" s="125">
        <v>1</v>
      </c>
      <c r="BE24" s="125">
        <v>0</v>
      </c>
      <c r="BF24" s="73">
        <v>1</v>
      </c>
      <c r="BG24" s="75">
        <v>0</v>
      </c>
    </row>
    <row r="25" spans="1:59" ht="18.75" customHeight="1" thickBot="1">
      <c r="A25" s="628" t="s">
        <v>163</v>
      </c>
      <c r="B25" s="642"/>
      <c r="C25" s="70"/>
      <c r="D25" s="71"/>
      <c r="E25" s="71"/>
      <c r="F25" s="72"/>
      <c r="Q25" s="74">
        <v>0</v>
      </c>
      <c r="R25" s="73">
        <v>0</v>
      </c>
      <c r="S25" s="73">
        <v>0</v>
      </c>
      <c r="T25" s="75">
        <v>0</v>
      </c>
      <c r="U25" s="75">
        <v>1</v>
      </c>
      <c r="V25" s="74">
        <v>1</v>
      </c>
      <c r="W25" s="125">
        <v>0</v>
      </c>
      <c r="X25" s="73">
        <v>0</v>
      </c>
      <c r="Y25" s="73">
        <v>0</v>
      </c>
      <c r="Z25" s="73">
        <v>1</v>
      </c>
      <c r="AB25" s="73">
        <v>0</v>
      </c>
      <c r="AC25" s="74">
        <v>0</v>
      </c>
      <c r="AD25" s="74">
        <v>0</v>
      </c>
      <c r="AE25" s="75">
        <v>0</v>
      </c>
      <c r="AF25" s="125">
        <v>1</v>
      </c>
      <c r="AG25" s="74">
        <v>1</v>
      </c>
      <c r="AH25" s="125">
        <v>0</v>
      </c>
      <c r="AI25" s="73">
        <v>0</v>
      </c>
      <c r="AJ25" s="125">
        <v>0</v>
      </c>
      <c r="AK25" s="74">
        <v>1</v>
      </c>
      <c r="AM25" s="74">
        <v>0</v>
      </c>
      <c r="AN25" s="125">
        <v>0</v>
      </c>
      <c r="AO25" s="74">
        <v>0</v>
      </c>
      <c r="AP25" s="75">
        <v>0</v>
      </c>
      <c r="AQ25" s="125">
        <v>1</v>
      </c>
      <c r="AR25" s="74">
        <v>1</v>
      </c>
      <c r="AS25" s="125">
        <v>0</v>
      </c>
      <c r="AT25" s="125">
        <v>0</v>
      </c>
      <c r="AU25" s="73">
        <v>0</v>
      </c>
      <c r="AV25" s="74">
        <v>1</v>
      </c>
      <c r="AX25" s="74">
        <v>0</v>
      </c>
      <c r="AY25" s="125">
        <v>0</v>
      </c>
      <c r="AZ25" s="75">
        <v>0</v>
      </c>
      <c r="BA25" s="75">
        <v>0</v>
      </c>
      <c r="BB25" s="125">
        <v>1</v>
      </c>
      <c r="BC25" s="74">
        <v>1</v>
      </c>
      <c r="BD25" s="125">
        <v>0</v>
      </c>
      <c r="BE25" s="125">
        <v>0</v>
      </c>
      <c r="BF25" s="73">
        <v>0</v>
      </c>
      <c r="BG25" s="75">
        <v>1</v>
      </c>
    </row>
    <row r="26" spans="1:59" ht="15.75" thickBot="1">
      <c r="A26" s="643" t="s">
        <v>113</v>
      </c>
      <c r="B26" s="644"/>
      <c r="C26" s="228">
        <f>SUM(C20:C25)</f>
        <v>0</v>
      </c>
      <c r="D26" s="229">
        <f>SUM(D20:D25)</f>
        <v>0</v>
      </c>
      <c r="E26" s="230">
        <f>SUM(E20:E25)</f>
        <v>0</v>
      </c>
      <c r="F26" s="231">
        <f>SUM(F20:F25)</f>
        <v>0</v>
      </c>
    </row>
    <row r="27" spans="1:59" ht="15">
      <c r="A27" s="64" t="s">
        <v>166</v>
      </c>
      <c r="B27" s="62"/>
      <c r="C27" s="63"/>
      <c r="D27" s="63"/>
      <c r="E27" s="63"/>
      <c r="F27" s="63"/>
    </row>
    <row r="28" spans="1:59" ht="13.5" thickBot="1"/>
    <row r="29" spans="1:59" ht="16.5" thickBot="1">
      <c r="A29" s="645" t="s">
        <v>179</v>
      </c>
      <c r="B29" s="646"/>
      <c r="C29" s="646"/>
      <c r="D29" s="646"/>
      <c r="E29" s="646"/>
      <c r="F29" s="647"/>
    </row>
    <row r="30" spans="1:59" ht="15.75" thickBot="1">
      <c r="A30" s="648" t="s">
        <v>116</v>
      </c>
      <c r="B30" s="649"/>
      <c r="C30" s="226" t="s">
        <v>105</v>
      </c>
      <c r="D30" s="227" t="s">
        <v>144</v>
      </c>
      <c r="E30" s="227" t="s">
        <v>153</v>
      </c>
      <c r="F30" s="217" t="s">
        <v>106</v>
      </c>
      <c r="P30" s="57" t="s">
        <v>280</v>
      </c>
    </row>
    <row r="31" spans="1:59" ht="20.25" customHeight="1">
      <c r="A31" s="640" t="s">
        <v>191</v>
      </c>
      <c r="B31" s="641"/>
      <c r="C31" s="70"/>
      <c r="D31" s="71"/>
      <c r="E31" s="71"/>
      <c r="F31" s="72"/>
      <c r="Q31" s="74">
        <v>26</v>
      </c>
      <c r="R31" s="70">
        <v>17</v>
      </c>
      <c r="S31" s="74">
        <v>14</v>
      </c>
      <c r="T31" s="70">
        <v>20</v>
      </c>
      <c r="U31" s="70">
        <v>51</v>
      </c>
      <c r="V31" s="74">
        <v>38</v>
      </c>
      <c r="W31" s="125">
        <v>18</v>
      </c>
      <c r="X31" s="74">
        <v>14</v>
      </c>
      <c r="Y31" s="70">
        <v>10</v>
      </c>
      <c r="Z31" s="70">
        <v>29</v>
      </c>
      <c r="AB31" s="70">
        <v>28</v>
      </c>
      <c r="AC31" s="71">
        <v>21</v>
      </c>
      <c r="AD31" s="74">
        <v>14</v>
      </c>
      <c r="AE31" s="71">
        <v>20</v>
      </c>
      <c r="AF31" s="125">
        <v>51</v>
      </c>
      <c r="AG31" s="74">
        <v>38</v>
      </c>
      <c r="AH31" s="125">
        <v>23</v>
      </c>
      <c r="AI31" s="74">
        <v>15</v>
      </c>
      <c r="AJ31" s="125">
        <v>17</v>
      </c>
      <c r="AK31" s="71">
        <v>29</v>
      </c>
      <c r="AM31" s="74">
        <v>28</v>
      </c>
      <c r="AN31" s="125">
        <v>21</v>
      </c>
      <c r="AO31" s="74">
        <v>14</v>
      </c>
      <c r="AP31" s="71">
        <v>20</v>
      </c>
      <c r="AQ31" s="125">
        <v>51</v>
      </c>
      <c r="AR31" s="74">
        <v>47</v>
      </c>
      <c r="AS31" s="125">
        <v>23</v>
      </c>
      <c r="AT31" s="125">
        <v>15</v>
      </c>
      <c r="AU31" s="71">
        <v>17</v>
      </c>
      <c r="AV31" s="71">
        <v>29</v>
      </c>
      <c r="AX31" s="74">
        <v>30</v>
      </c>
      <c r="AY31" s="154">
        <v>16</v>
      </c>
      <c r="AZ31" s="74">
        <v>14</v>
      </c>
      <c r="BA31" s="72">
        <v>19</v>
      </c>
      <c r="BB31" s="125">
        <v>51</v>
      </c>
      <c r="BC31" s="74">
        <v>47</v>
      </c>
      <c r="BD31" s="125">
        <v>21</v>
      </c>
      <c r="BE31" s="125">
        <v>15</v>
      </c>
      <c r="BF31" s="72">
        <v>17</v>
      </c>
      <c r="BG31" s="72">
        <v>29</v>
      </c>
    </row>
    <row r="32" spans="1:59" ht="20.25" customHeight="1">
      <c r="A32" s="628" t="s">
        <v>187</v>
      </c>
      <c r="B32" s="642"/>
      <c r="C32" s="70"/>
      <c r="D32" s="71"/>
      <c r="E32" s="71"/>
      <c r="F32" s="72"/>
      <c r="Q32" s="74">
        <v>12</v>
      </c>
      <c r="R32" s="73">
        <v>4</v>
      </c>
      <c r="S32" s="74">
        <v>3</v>
      </c>
      <c r="T32" s="73">
        <v>1</v>
      </c>
      <c r="U32" s="73">
        <v>11</v>
      </c>
      <c r="V32" s="74">
        <v>8</v>
      </c>
      <c r="W32" s="125">
        <v>3</v>
      </c>
      <c r="X32" s="74">
        <v>3</v>
      </c>
      <c r="Y32" s="73">
        <v>2</v>
      </c>
      <c r="Z32" s="73">
        <v>5</v>
      </c>
      <c r="AB32" s="73">
        <v>13</v>
      </c>
      <c r="AC32" s="74">
        <v>6</v>
      </c>
      <c r="AD32" s="74">
        <v>3</v>
      </c>
      <c r="AE32" s="74">
        <v>2</v>
      </c>
      <c r="AF32" s="125">
        <v>11</v>
      </c>
      <c r="AG32" s="74">
        <v>10</v>
      </c>
      <c r="AH32" s="125">
        <v>5</v>
      </c>
      <c r="AI32" s="74">
        <v>3</v>
      </c>
      <c r="AJ32" s="125">
        <v>4</v>
      </c>
      <c r="AK32" s="74">
        <v>6</v>
      </c>
      <c r="AM32" s="74">
        <v>13</v>
      </c>
      <c r="AN32" s="125">
        <v>5</v>
      </c>
      <c r="AO32" s="74">
        <v>3</v>
      </c>
      <c r="AP32" s="74">
        <v>6</v>
      </c>
      <c r="AQ32" s="125">
        <v>10</v>
      </c>
      <c r="AR32" s="74">
        <v>10</v>
      </c>
      <c r="AS32" s="125">
        <v>5</v>
      </c>
      <c r="AT32" s="125">
        <v>3</v>
      </c>
      <c r="AU32" s="74">
        <v>4</v>
      </c>
      <c r="AV32" s="74">
        <v>6</v>
      </c>
      <c r="AX32" s="74">
        <v>13</v>
      </c>
      <c r="AY32" s="155">
        <v>6</v>
      </c>
      <c r="AZ32" s="74">
        <v>6</v>
      </c>
      <c r="BA32" s="75">
        <v>6</v>
      </c>
      <c r="BB32" s="125">
        <v>10</v>
      </c>
      <c r="BC32" s="74">
        <v>10</v>
      </c>
      <c r="BD32" s="125">
        <v>5</v>
      </c>
      <c r="BE32" s="125">
        <v>3</v>
      </c>
      <c r="BF32" s="75">
        <v>4</v>
      </c>
      <c r="BG32" s="75">
        <v>6</v>
      </c>
    </row>
    <row r="33" spans="1:103" ht="20.25" customHeight="1">
      <c r="A33" s="628" t="s">
        <v>188</v>
      </c>
      <c r="B33" s="642"/>
      <c r="C33" s="70"/>
      <c r="D33" s="71"/>
      <c r="E33" s="71"/>
      <c r="F33" s="72"/>
      <c r="Q33" s="74">
        <v>40</v>
      </c>
      <c r="R33" s="73">
        <v>28</v>
      </c>
      <c r="S33" s="74">
        <v>17</v>
      </c>
      <c r="T33" s="73">
        <v>22</v>
      </c>
      <c r="U33" s="73">
        <v>72</v>
      </c>
      <c r="V33" s="74">
        <v>51</v>
      </c>
      <c r="W33" s="125">
        <v>25</v>
      </c>
      <c r="X33" s="74">
        <v>15</v>
      </c>
      <c r="Y33" s="73">
        <v>17</v>
      </c>
      <c r="Z33" s="73">
        <v>33</v>
      </c>
      <c r="AB33" s="73">
        <v>38</v>
      </c>
      <c r="AC33" s="74">
        <v>30</v>
      </c>
      <c r="AD33" s="74">
        <v>17</v>
      </c>
      <c r="AE33" s="74">
        <v>23</v>
      </c>
      <c r="AF33" s="125">
        <v>72</v>
      </c>
      <c r="AG33" s="74">
        <v>57</v>
      </c>
      <c r="AH33" s="125">
        <v>22</v>
      </c>
      <c r="AI33" s="74">
        <v>15</v>
      </c>
      <c r="AJ33" s="125">
        <v>27</v>
      </c>
      <c r="AK33" s="74">
        <v>35</v>
      </c>
      <c r="AM33" s="74">
        <v>40</v>
      </c>
      <c r="AN33" s="125">
        <v>30</v>
      </c>
      <c r="AO33" s="74">
        <v>17</v>
      </c>
      <c r="AP33" s="74">
        <v>23</v>
      </c>
      <c r="AQ33" s="125">
        <v>79</v>
      </c>
      <c r="AR33" s="74">
        <v>58</v>
      </c>
      <c r="AS33" s="125">
        <v>22</v>
      </c>
      <c r="AT33" s="125">
        <v>15</v>
      </c>
      <c r="AU33" s="74">
        <v>27</v>
      </c>
      <c r="AV33" s="74">
        <v>35</v>
      </c>
      <c r="AX33" s="74">
        <v>49</v>
      </c>
      <c r="AY33" s="155">
        <v>30</v>
      </c>
      <c r="AZ33" s="74">
        <v>19</v>
      </c>
      <c r="BA33" s="75">
        <v>24</v>
      </c>
      <c r="BB33" s="125">
        <v>79</v>
      </c>
      <c r="BC33" s="74">
        <v>58</v>
      </c>
      <c r="BD33" s="125">
        <v>22</v>
      </c>
      <c r="BE33" s="125">
        <v>15</v>
      </c>
      <c r="BF33" s="75">
        <v>30</v>
      </c>
      <c r="BG33" s="75">
        <v>35</v>
      </c>
    </row>
    <row r="34" spans="1:103" ht="20.25" customHeight="1">
      <c r="A34" s="628" t="s">
        <v>189</v>
      </c>
      <c r="B34" s="642"/>
      <c r="C34" s="70"/>
      <c r="D34" s="71"/>
      <c r="E34" s="71"/>
      <c r="F34" s="72"/>
      <c r="Q34" s="74">
        <v>36</v>
      </c>
      <c r="R34" s="73">
        <v>24</v>
      </c>
      <c r="S34" s="74">
        <v>17</v>
      </c>
      <c r="T34" s="73">
        <v>20</v>
      </c>
      <c r="U34" s="73">
        <v>82</v>
      </c>
      <c r="V34" s="74">
        <v>32</v>
      </c>
      <c r="W34" s="125">
        <v>26</v>
      </c>
      <c r="X34" s="74">
        <v>15</v>
      </c>
      <c r="Y34" s="73">
        <v>9</v>
      </c>
      <c r="Z34" s="73">
        <v>24</v>
      </c>
      <c r="AB34" s="73">
        <v>44</v>
      </c>
      <c r="AC34" s="74">
        <v>31</v>
      </c>
      <c r="AD34" s="74">
        <v>17</v>
      </c>
      <c r="AE34" s="74">
        <v>20</v>
      </c>
      <c r="AF34" s="125">
        <v>82</v>
      </c>
      <c r="AG34" s="74">
        <v>33</v>
      </c>
      <c r="AH34" s="125">
        <v>25</v>
      </c>
      <c r="AI34" s="74">
        <v>16</v>
      </c>
      <c r="AJ34" s="125">
        <v>12</v>
      </c>
      <c r="AK34" s="74">
        <v>25</v>
      </c>
      <c r="AM34" s="74">
        <v>44</v>
      </c>
      <c r="AN34" s="125">
        <v>31</v>
      </c>
      <c r="AO34" s="74">
        <v>17</v>
      </c>
      <c r="AP34" s="74">
        <v>20</v>
      </c>
      <c r="AQ34" s="125">
        <v>66</v>
      </c>
      <c r="AR34" s="74">
        <v>34</v>
      </c>
      <c r="AS34" s="125">
        <v>25</v>
      </c>
      <c r="AT34" s="125">
        <v>16</v>
      </c>
      <c r="AU34" s="74">
        <v>18</v>
      </c>
      <c r="AV34" s="74">
        <v>25</v>
      </c>
      <c r="AX34" s="74">
        <v>52</v>
      </c>
      <c r="AY34" s="155">
        <v>29</v>
      </c>
      <c r="AZ34" s="74">
        <v>15</v>
      </c>
      <c r="BA34" s="75">
        <v>20</v>
      </c>
      <c r="BB34" s="125">
        <v>66</v>
      </c>
      <c r="BC34" s="74">
        <v>35</v>
      </c>
      <c r="BD34" s="125">
        <v>24</v>
      </c>
      <c r="BE34" s="125">
        <v>16</v>
      </c>
      <c r="BF34" s="75">
        <v>19</v>
      </c>
      <c r="BG34" s="75">
        <v>25</v>
      </c>
    </row>
    <row r="35" spans="1:103" ht="20.25" customHeight="1">
      <c r="A35" s="628" t="s">
        <v>190</v>
      </c>
      <c r="B35" s="642"/>
      <c r="C35" s="70"/>
      <c r="D35" s="71"/>
      <c r="E35" s="71"/>
      <c r="F35" s="72"/>
      <c r="Q35" s="74">
        <v>8</v>
      </c>
      <c r="R35" s="73">
        <v>4</v>
      </c>
      <c r="S35" s="74">
        <v>0</v>
      </c>
      <c r="T35" s="73">
        <v>1</v>
      </c>
      <c r="U35" s="73">
        <v>9</v>
      </c>
      <c r="V35" s="74">
        <v>2</v>
      </c>
      <c r="W35" s="125">
        <v>0</v>
      </c>
      <c r="X35" s="74">
        <v>0</v>
      </c>
      <c r="Y35" s="73">
        <v>2</v>
      </c>
      <c r="Z35" s="73">
        <v>1</v>
      </c>
      <c r="AB35" s="73">
        <v>3</v>
      </c>
      <c r="AC35" s="74">
        <v>5</v>
      </c>
      <c r="AD35" s="74">
        <v>0</v>
      </c>
      <c r="AE35" s="74">
        <v>1</v>
      </c>
      <c r="AF35" s="125">
        <v>9</v>
      </c>
      <c r="AG35" s="74">
        <v>3</v>
      </c>
      <c r="AH35" s="125">
        <v>1</v>
      </c>
      <c r="AI35" s="74">
        <v>1</v>
      </c>
      <c r="AJ35" s="125">
        <v>2</v>
      </c>
      <c r="AK35" s="74">
        <v>1</v>
      </c>
      <c r="AM35" s="74">
        <v>3</v>
      </c>
      <c r="AN35" s="125">
        <v>5</v>
      </c>
      <c r="AO35" s="74">
        <v>0</v>
      </c>
      <c r="AP35" s="74">
        <v>1</v>
      </c>
      <c r="AQ35" s="125">
        <v>9</v>
      </c>
      <c r="AR35" s="74">
        <v>3</v>
      </c>
      <c r="AS35" s="125">
        <v>1</v>
      </c>
      <c r="AT35" s="125">
        <v>1</v>
      </c>
      <c r="AU35" s="74">
        <v>3</v>
      </c>
      <c r="AV35" s="74">
        <v>1</v>
      </c>
      <c r="AX35" s="74">
        <v>7</v>
      </c>
      <c r="AY35" s="155">
        <v>5</v>
      </c>
      <c r="AZ35" s="74">
        <v>1</v>
      </c>
      <c r="BA35" s="75">
        <v>1</v>
      </c>
      <c r="BB35" s="125">
        <v>9</v>
      </c>
      <c r="BC35" s="74">
        <v>3</v>
      </c>
      <c r="BD35" s="125">
        <v>1</v>
      </c>
      <c r="BE35" s="125">
        <v>1</v>
      </c>
      <c r="BF35" s="75">
        <v>4</v>
      </c>
      <c r="BG35" s="75">
        <v>1</v>
      </c>
    </row>
    <row r="36" spans="1:103" ht="20.25" customHeight="1">
      <c r="A36" s="236" t="s">
        <v>214</v>
      </c>
      <c r="B36" s="237"/>
      <c r="C36" s="70"/>
      <c r="D36" s="71"/>
      <c r="E36" s="71"/>
      <c r="F36" s="72"/>
      <c r="Q36" s="74">
        <v>3</v>
      </c>
      <c r="R36" s="87">
        <v>0</v>
      </c>
      <c r="S36" s="74">
        <v>5</v>
      </c>
      <c r="T36" s="87">
        <v>0</v>
      </c>
      <c r="U36" s="87">
        <v>1</v>
      </c>
      <c r="V36" s="74">
        <v>3</v>
      </c>
      <c r="W36" s="125">
        <v>4</v>
      </c>
      <c r="X36" s="74">
        <v>0</v>
      </c>
      <c r="Y36" s="87">
        <v>7</v>
      </c>
      <c r="Z36" s="87">
        <v>1</v>
      </c>
      <c r="AB36" s="87">
        <v>6</v>
      </c>
      <c r="AC36" s="74">
        <v>0</v>
      </c>
      <c r="AD36" s="74">
        <v>5</v>
      </c>
      <c r="AE36" s="74">
        <v>0</v>
      </c>
      <c r="AF36" s="125">
        <v>1</v>
      </c>
      <c r="AG36" s="74">
        <v>4</v>
      </c>
      <c r="AH36" s="125">
        <v>6</v>
      </c>
      <c r="AI36" s="74">
        <v>0</v>
      </c>
      <c r="AJ36" s="125">
        <v>7</v>
      </c>
      <c r="AK36" s="74">
        <v>1</v>
      </c>
      <c r="AM36" s="74">
        <v>6</v>
      </c>
      <c r="AN36" s="125">
        <v>0</v>
      </c>
      <c r="AO36" s="74">
        <v>5</v>
      </c>
      <c r="AP36" s="139">
        <v>0</v>
      </c>
      <c r="AQ36" s="125">
        <v>2</v>
      </c>
      <c r="AR36" s="74">
        <v>4</v>
      </c>
      <c r="AS36" s="125">
        <v>6</v>
      </c>
      <c r="AT36" s="125">
        <v>0</v>
      </c>
      <c r="AU36" s="139">
        <v>9</v>
      </c>
      <c r="AV36" s="74">
        <v>1</v>
      </c>
      <c r="AX36" s="74">
        <v>7</v>
      </c>
      <c r="AY36" s="156">
        <v>1</v>
      </c>
      <c r="AZ36" s="74">
        <v>5</v>
      </c>
      <c r="BA36" s="88">
        <v>0</v>
      </c>
      <c r="BB36" s="125">
        <v>2</v>
      </c>
      <c r="BC36" s="74">
        <v>5</v>
      </c>
      <c r="BD36" s="125">
        <v>8</v>
      </c>
      <c r="BE36" s="125">
        <v>0</v>
      </c>
      <c r="BF36" s="88">
        <v>10</v>
      </c>
      <c r="BG36" s="88">
        <v>1</v>
      </c>
    </row>
    <row r="37" spans="1:103" ht="20.25" customHeight="1" thickBot="1">
      <c r="A37" s="658" t="s">
        <v>186</v>
      </c>
      <c r="B37" s="659"/>
      <c r="C37" s="70"/>
      <c r="D37" s="71"/>
      <c r="E37" s="71"/>
      <c r="F37" s="72"/>
      <c r="Q37" s="74">
        <v>211</v>
      </c>
      <c r="R37" s="76">
        <v>144</v>
      </c>
      <c r="S37" s="74">
        <v>64</v>
      </c>
      <c r="T37" s="76">
        <v>55</v>
      </c>
      <c r="U37" s="76">
        <v>192</v>
      </c>
      <c r="V37" s="74">
        <v>160</v>
      </c>
      <c r="W37" s="125">
        <v>53</v>
      </c>
      <c r="X37" s="74">
        <v>65</v>
      </c>
      <c r="Y37" s="76">
        <v>86</v>
      </c>
      <c r="Z37" s="76">
        <v>80</v>
      </c>
      <c r="AB37" s="76">
        <v>206</v>
      </c>
      <c r="AC37" s="77">
        <v>149</v>
      </c>
      <c r="AD37" s="74">
        <v>64</v>
      </c>
      <c r="AE37" s="77">
        <v>54</v>
      </c>
      <c r="AF37" s="125">
        <v>192</v>
      </c>
      <c r="AG37" s="74">
        <v>160</v>
      </c>
      <c r="AH37" s="125">
        <v>84</v>
      </c>
      <c r="AI37" s="74">
        <v>65</v>
      </c>
      <c r="AJ37" s="125">
        <v>86</v>
      </c>
      <c r="AK37" s="77">
        <v>81</v>
      </c>
      <c r="AM37" s="74">
        <v>212</v>
      </c>
      <c r="AN37" s="125">
        <v>149</v>
      </c>
      <c r="AO37" s="74">
        <v>64</v>
      </c>
      <c r="AP37" s="77">
        <v>62</v>
      </c>
      <c r="AQ37" s="125">
        <v>155</v>
      </c>
      <c r="AR37" s="74">
        <v>163</v>
      </c>
      <c r="AS37" s="125">
        <v>84</v>
      </c>
      <c r="AT37" s="125">
        <v>65</v>
      </c>
      <c r="AU37" s="77">
        <v>99</v>
      </c>
      <c r="AV37" s="77">
        <v>81</v>
      </c>
      <c r="AX37" s="74">
        <v>229</v>
      </c>
      <c r="AY37" s="157">
        <v>155</v>
      </c>
      <c r="AZ37" s="74">
        <v>52</v>
      </c>
      <c r="BA37" s="78">
        <v>62</v>
      </c>
      <c r="BB37" s="125">
        <v>155</v>
      </c>
      <c r="BC37" s="74">
        <v>177</v>
      </c>
      <c r="BD37" s="125">
        <v>94</v>
      </c>
      <c r="BE37" s="125">
        <v>65</v>
      </c>
      <c r="BF37" s="78">
        <v>99</v>
      </c>
      <c r="BG37" s="78">
        <v>81</v>
      </c>
    </row>
    <row r="38" spans="1:103" ht="13.5" thickBot="1"/>
    <row r="39" spans="1:103" ht="16.5" thickBot="1">
      <c r="A39" s="645" t="s">
        <v>178</v>
      </c>
      <c r="B39" s="646"/>
      <c r="C39" s="646"/>
      <c r="D39" s="646"/>
      <c r="E39" s="646"/>
      <c r="F39" s="647"/>
    </row>
    <row r="40" spans="1:103" ht="15.75" thickBot="1">
      <c r="A40" s="648" t="s">
        <v>117</v>
      </c>
      <c r="B40" s="649"/>
      <c r="C40" s="226" t="s">
        <v>105</v>
      </c>
      <c r="D40" s="227" t="s">
        <v>144</v>
      </c>
      <c r="E40" s="227" t="s">
        <v>153</v>
      </c>
      <c r="F40" s="217" t="s">
        <v>106</v>
      </c>
      <c r="P40" s="57" t="s">
        <v>282</v>
      </c>
      <c r="BC40" s="167"/>
      <c r="BD40" s="167"/>
    </row>
    <row r="41" spans="1:103" ht="20.25" customHeight="1">
      <c r="A41" s="640" t="s">
        <v>152</v>
      </c>
      <c r="B41" s="641"/>
      <c r="C41" s="133"/>
      <c r="D41" s="134"/>
      <c r="E41" s="134"/>
      <c r="F41" s="135"/>
      <c r="Q41" s="151">
        <v>249947.67</v>
      </c>
      <c r="R41" s="97">
        <v>546288</v>
      </c>
      <c r="S41" s="125">
        <v>0</v>
      </c>
      <c r="T41" s="125">
        <v>0</v>
      </c>
      <c r="U41" s="97">
        <v>533712.11579999991</v>
      </c>
      <c r="V41" s="97">
        <f>80130+165478.5+24000</f>
        <v>269608.5</v>
      </c>
      <c r="W41" s="125">
        <v>4062</v>
      </c>
      <c r="X41" s="97"/>
      <c r="Y41" s="97">
        <v>32868.724999999999</v>
      </c>
      <c r="Z41" s="97">
        <v>1549730</v>
      </c>
      <c r="AB41" s="98">
        <v>249947.67</v>
      </c>
      <c r="AC41" s="98">
        <v>525986.80000000005</v>
      </c>
      <c r="AD41" s="98">
        <v>0</v>
      </c>
      <c r="AE41" s="98">
        <v>0</v>
      </c>
      <c r="AF41" s="98">
        <v>604873.73123999988</v>
      </c>
      <c r="AG41" s="98">
        <f>171185.5+178070.96+44394.88+432362</f>
        <v>826013.34</v>
      </c>
      <c r="AH41" s="98">
        <v>416463.93</v>
      </c>
      <c r="AI41" s="98"/>
      <c r="AJ41" s="98"/>
      <c r="AK41" s="98">
        <v>1169456</v>
      </c>
      <c r="AM41" s="98">
        <v>29956</v>
      </c>
      <c r="AN41" s="125">
        <v>900218</v>
      </c>
      <c r="AO41" s="125">
        <v>0</v>
      </c>
      <c r="AP41" s="125">
        <v>0</v>
      </c>
      <c r="AQ41" s="125">
        <v>640454.53895999992</v>
      </c>
      <c r="AR41" s="98">
        <v>396210.92</v>
      </c>
      <c r="AS41" s="125">
        <v>902618.29</v>
      </c>
      <c r="AT41" s="125"/>
      <c r="AU41" s="98"/>
      <c r="AV41" s="125">
        <v>0</v>
      </c>
      <c r="AX41" s="168">
        <v>105000</v>
      </c>
      <c r="AY41" s="168">
        <v>156700.4</v>
      </c>
      <c r="AZ41" s="167">
        <v>0</v>
      </c>
      <c r="BA41" s="167">
        <v>0</v>
      </c>
      <c r="BB41" s="167">
        <v>0</v>
      </c>
      <c r="BC41" s="167">
        <v>498943.62</v>
      </c>
      <c r="BD41" s="167">
        <v>2809136.95</v>
      </c>
      <c r="BE41" s="167">
        <v>0</v>
      </c>
      <c r="BF41" s="167">
        <v>0</v>
      </c>
      <c r="BG41" s="167">
        <v>0</v>
      </c>
    </row>
    <row r="42" spans="1:103" ht="20.25" customHeight="1">
      <c r="A42" s="640" t="s">
        <v>104</v>
      </c>
      <c r="B42" s="641"/>
      <c r="C42" s="133"/>
      <c r="D42" s="134"/>
      <c r="E42" s="134"/>
      <c r="F42" s="135"/>
      <c r="Q42" s="151">
        <v>156611.66</v>
      </c>
      <c r="R42" s="97">
        <v>2190</v>
      </c>
      <c r="S42" s="125">
        <v>0</v>
      </c>
      <c r="T42" s="125">
        <v>0</v>
      </c>
      <c r="U42" s="97">
        <v>161458.08731999999</v>
      </c>
      <c r="V42" s="97">
        <f>28665+45387.6+35070.5</f>
        <v>109123.1</v>
      </c>
      <c r="W42" s="125">
        <v>20613.59</v>
      </c>
      <c r="X42" s="97">
        <v>10527.5</v>
      </c>
      <c r="Y42" s="97">
        <v>28828</v>
      </c>
      <c r="Z42" s="97">
        <v>31682</v>
      </c>
      <c r="AB42" s="98">
        <v>57685.83</v>
      </c>
      <c r="AC42" s="98">
        <v>8760</v>
      </c>
      <c r="AD42" s="98">
        <v>0</v>
      </c>
      <c r="AE42" s="98">
        <v>0</v>
      </c>
      <c r="AF42" s="98">
        <v>182985.83229599998</v>
      </c>
      <c r="AG42" s="98">
        <f>57662+59083.58+37719.65</f>
        <v>154465.23000000001</v>
      </c>
      <c r="AH42" s="98">
        <v>476902.78</v>
      </c>
      <c r="AI42" s="98">
        <v>1026</v>
      </c>
      <c r="AJ42" s="98">
        <v>28429</v>
      </c>
      <c r="AK42" s="98">
        <v>204399</v>
      </c>
      <c r="AM42" s="98">
        <v>128272.82</v>
      </c>
      <c r="AN42" s="125">
        <v>4760</v>
      </c>
      <c r="AO42" s="125">
        <v>0</v>
      </c>
      <c r="AP42" s="125">
        <v>0</v>
      </c>
      <c r="AQ42" s="125">
        <v>193749.704784</v>
      </c>
      <c r="AR42" s="98">
        <v>126999</v>
      </c>
      <c r="AS42" s="125">
        <v>286570.14999999997</v>
      </c>
      <c r="AT42" s="125">
        <v>10801</v>
      </c>
      <c r="AU42" s="98">
        <v>30702.5</v>
      </c>
      <c r="AV42" s="125">
        <v>0</v>
      </c>
      <c r="AX42" s="98">
        <v>38263</v>
      </c>
      <c r="AY42" s="158">
        <v>15000</v>
      </c>
      <c r="AZ42" s="125">
        <v>0</v>
      </c>
      <c r="BA42" s="125">
        <v>0</v>
      </c>
      <c r="BB42" s="99">
        <v>0</v>
      </c>
      <c r="BC42" s="99">
        <v>73086.5</v>
      </c>
      <c r="BD42" s="125">
        <v>495284.33999999997</v>
      </c>
      <c r="BE42" s="125">
        <v>11599.2</v>
      </c>
      <c r="BF42" s="99">
        <v>25535.7</v>
      </c>
      <c r="BG42" s="125">
        <v>0</v>
      </c>
    </row>
    <row r="43" spans="1:103" ht="20.25" customHeight="1" thickBot="1">
      <c r="A43" s="232" t="s">
        <v>192</v>
      </c>
      <c r="B43" s="233"/>
      <c r="C43" s="133"/>
      <c r="D43" s="134"/>
      <c r="E43" s="134"/>
      <c r="F43" s="135"/>
      <c r="Q43" s="151">
        <v>423360</v>
      </c>
      <c r="R43" s="100">
        <v>388504</v>
      </c>
      <c r="S43" s="125">
        <v>0</v>
      </c>
      <c r="T43" s="125">
        <v>0</v>
      </c>
      <c r="U43" s="100">
        <v>812900</v>
      </c>
      <c r="V43" s="100">
        <v>464489</v>
      </c>
      <c r="W43" s="125">
        <v>0</v>
      </c>
      <c r="X43" s="103">
        <v>109051</v>
      </c>
      <c r="Y43" s="100">
        <v>253055.5</v>
      </c>
      <c r="Z43" s="100">
        <v>260597</v>
      </c>
      <c r="AB43" s="98">
        <v>530937</v>
      </c>
      <c r="AC43" s="98">
        <v>515125.9</v>
      </c>
      <c r="AD43" s="98">
        <v>0</v>
      </c>
      <c r="AE43" s="98">
        <v>0</v>
      </c>
      <c r="AF43" s="98">
        <v>1277389</v>
      </c>
      <c r="AG43" s="98">
        <f>139015+603346</f>
        <v>742361</v>
      </c>
      <c r="AH43" s="98">
        <v>0</v>
      </c>
      <c r="AI43" s="98">
        <v>133578.5</v>
      </c>
      <c r="AJ43" s="151">
        <v>253055.5</v>
      </c>
      <c r="AK43" s="151">
        <v>390376</v>
      </c>
      <c r="AM43" s="101">
        <v>636245</v>
      </c>
      <c r="AN43" s="125">
        <v>600000</v>
      </c>
      <c r="AO43" s="125">
        <v>0</v>
      </c>
      <c r="AP43" s="125">
        <v>0</v>
      </c>
      <c r="AQ43" s="125"/>
      <c r="AR43" s="117">
        <v>1011621</v>
      </c>
      <c r="AS43" s="125">
        <v>0</v>
      </c>
      <c r="AT43" s="125">
        <v>210587</v>
      </c>
      <c r="AU43" s="101">
        <v>169.07300000000001</v>
      </c>
      <c r="AV43" s="125">
        <v>0</v>
      </c>
      <c r="AX43" s="98">
        <v>648999</v>
      </c>
      <c r="AY43" s="159">
        <v>597465</v>
      </c>
      <c r="AZ43" s="125">
        <v>0</v>
      </c>
      <c r="BA43" s="125">
        <v>0</v>
      </c>
      <c r="BB43" s="102">
        <v>0</v>
      </c>
      <c r="BC43" s="102">
        <v>1920908</v>
      </c>
      <c r="BD43" s="125">
        <v>0</v>
      </c>
      <c r="BE43" s="125">
        <v>215824</v>
      </c>
      <c r="BF43" s="102">
        <v>173678</v>
      </c>
      <c r="BG43" s="125">
        <v>0</v>
      </c>
    </row>
    <row r="44" spans="1:103" ht="20.25" customHeight="1" thickBot="1">
      <c r="A44" s="671" t="s">
        <v>176</v>
      </c>
      <c r="B44" s="672"/>
      <c r="C44" s="261"/>
      <c r="D44" s="262"/>
      <c r="E44" s="262"/>
      <c r="F44" s="263"/>
      <c r="Q44" s="151">
        <v>0</v>
      </c>
      <c r="R44" s="103">
        <v>0</v>
      </c>
      <c r="S44" s="125">
        <v>0</v>
      </c>
      <c r="T44" s="125">
        <v>0</v>
      </c>
      <c r="U44" s="103">
        <v>495260.8779599999</v>
      </c>
      <c r="V44" s="103"/>
      <c r="W44" s="125">
        <v>0</v>
      </c>
      <c r="X44" s="144"/>
      <c r="Y44" s="103">
        <v>0</v>
      </c>
      <c r="Z44" s="103">
        <v>75139</v>
      </c>
      <c r="AB44" s="98">
        <v>0</v>
      </c>
      <c r="AC44" s="98">
        <v>34021.25</v>
      </c>
      <c r="AD44" s="98">
        <v>0</v>
      </c>
      <c r="AE44" s="98">
        <v>0</v>
      </c>
      <c r="AF44" s="98">
        <v>561295.66168799985</v>
      </c>
      <c r="AG44" s="98"/>
      <c r="AH44" s="98">
        <v>986784.05999999994</v>
      </c>
      <c r="AI44" s="98"/>
      <c r="AJ44" s="98">
        <v>0</v>
      </c>
      <c r="AK44" s="98"/>
      <c r="AM44" s="104">
        <v>504073.07</v>
      </c>
      <c r="AN44" s="125">
        <v>342000</v>
      </c>
      <c r="AO44" s="125">
        <v>0</v>
      </c>
      <c r="AP44" s="125">
        <v>0</v>
      </c>
      <c r="AQ44" s="125">
        <v>594313.05355199985</v>
      </c>
      <c r="AR44" s="104"/>
      <c r="AS44" s="125">
        <v>818785.97</v>
      </c>
      <c r="AT44" s="125">
        <v>355640</v>
      </c>
      <c r="AU44" s="104">
        <v>0</v>
      </c>
      <c r="AV44" s="125">
        <v>0</v>
      </c>
      <c r="AX44" s="98">
        <v>801097</v>
      </c>
      <c r="AY44" s="160">
        <v>0</v>
      </c>
      <c r="AZ44" s="125">
        <v>0</v>
      </c>
      <c r="BA44" s="125">
        <v>0</v>
      </c>
      <c r="BB44" s="105">
        <v>0</v>
      </c>
      <c r="BC44" s="105"/>
      <c r="BD44" s="125">
        <v>1600746.24</v>
      </c>
      <c r="BE44" s="125">
        <v>244513.7</v>
      </c>
      <c r="BF44" s="105">
        <v>0</v>
      </c>
      <c r="BG44" s="125">
        <v>0</v>
      </c>
      <c r="BT44" s="45" t="s">
        <v>64</v>
      </c>
    </row>
    <row r="45" spans="1:103" ht="21.75" customHeight="1" thickBot="1">
      <c r="C45" s="264">
        <f>SUM(C41:C44)</f>
        <v>0</v>
      </c>
      <c r="D45" s="265">
        <f>SUM(D41:D44)</f>
        <v>0</v>
      </c>
      <c r="E45" s="265">
        <f>SUM(E41:E44)</f>
        <v>0</v>
      </c>
      <c r="F45" s="266">
        <f>SUM(F41:F44)</f>
        <v>0</v>
      </c>
      <c r="R45" s="148">
        <f>SUM(R41:R44)</f>
        <v>936982</v>
      </c>
      <c r="U45" s="148">
        <v>2003331.0810799999</v>
      </c>
      <c r="V45" s="121">
        <f>SUM(V41:V44)</f>
        <v>843220.6</v>
      </c>
      <c r="W45" s="45">
        <v>24675.59</v>
      </c>
      <c r="Y45" s="148">
        <f>SUM(Y41:Y44)</f>
        <v>314752.22499999998</v>
      </c>
      <c r="Z45" s="148">
        <v>1917148</v>
      </c>
      <c r="AB45" s="145">
        <f>SUM(AB41:AB44)</f>
        <v>838570.5</v>
      </c>
      <c r="AC45" s="145">
        <f>SUM(AC41:AC44)</f>
        <v>1083893.9500000002</v>
      </c>
      <c r="AD45" s="145">
        <f t="shared" ref="AD45:AJ45" si="1">SUM(AD41:AD44)</f>
        <v>0</v>
      </c>
      <c r="AE45" s="145">
        <f t="shared" si="1"/>
        <v>0</v>
      </c>
      <c r="AF45" s="145">
        <f t="shared" si="1"/>
        <v>2626544.2252239999</v>
      </c>
      <c r="AG45" s="145">
        <f t="shared" si="1"/>
        <v>1722839.5699999998</v>
      </c>
      <c r="AH45" s="145">
        <f t="shared" si="1"/>
        <v>1880150.77</v>
      </c>
      <c r="AI45" s="145">
        <f t="shared" si="1"/>
        <v>134604.5</v>
      </c>
      <c r="AJ45" s="145">
        <f t="shared" si="1"/>
        <v>281484.5</v>
      </c>
      <c r="AK45" s="145">
        <v>1764231</v>
      </c>
      <c r="AN45" s="45">
        <v>1846978</v>
      </c>
      <c r="AQ45" s="45">
        <v>1428517.2972959997</v>
      </c>
      <c r="AR45" s="122">
        <f>SUM(AR41:AR44)</f>
        <v>1534830.92</v>
      </c>
      <c r="AS45" s="45">
        <v>2007974.41</v>
      </c>
      <c r="AT45" s="45">
        <v>577028</v>
      </c>
      <c r="AU45" s="145">
        <f>SUM(AU41:AU44)</f>
        <v>30871.573</v>
      </c>
      <c r="AV45" s="45">
        <v>0</v>
      </c>
      <c r="AY45" s="149">
        <f>SUM(AY41:AY44)</f>
        <v>769165.4</v>
      </c>
      <c r="BB45" s="149">
        <f>SUM(BB41:BB44)</f>
        <v>0</v>
      </c>
      <c r="BC45" s="123">
        <f>SUM(BC41:BC44)</f>
        <v>2492938.12</v>
      </c>
      <c r="BD45" s="45">
        <v>4905167.53</v>
      </c>
      <c r="BE45" s="45">
        <v>471936.9</v>
      </c>
      <c r="BF45" s="149">
        <f>SUM(BF41:BF44)</f>
        <v>199213.7</v>
      </c>
      <c r="BG45" s="45">
        <v>0</v>
      </c>
      <c r="BI45" s="45" t="s">
        <v>63</v>
      </c>
      <c r="CE45" s="45" t="s">
        <v>65</v>
      </c>
      <c r="CP45" s="45" t="s">
        <v>66</v>
      </c>
    </row>
    <row r="46" spans="1:103" ht="13.5" thickBot="1"/>
    <row r="47" spans="1:103" ht="16.5" thickBot="1">
      <c r="A47" s="645" t="s">
        <v>210</v>
      </c>
      <c r="B47" s="646"/>
      <c r="C47" s="646"/>
      <c r="D47" s="646"/>
      <c r="E47" s="646"/>
      <c r="F47" s="646"/>
      <c r="G47" s="646"/>
      <c r="H47" s="646"/>
      <c r="I47" s="647"/>
      <c r="Q47" s="124" t="s">
        <v>74</v>
      </c>
      <c r="R47" s="124" t="s">
        <v>264</v>
      </c>
      <c r="S47" s="124" t="s">
        <v>265</v>
      </c>
      <c r="T47" s="124" t="s">
        <v>266</v>
      </c>
      <c r="U47" s="124" t="s">
        <v>267</v>
      </c>
      <c r="V47" s="124" t="s">
        <v>268</v>
      </c>
      <c r="W47" s="124" t="s">
        <v>271</v>
      </c>
      <c r="X47" s="124" t="s">
        <v>272</v>
      </c>
      <c r="Y47" s="124" t="s">
        <v>273</v>
      </c>
      <c r="Z47" s="124" t="s">
        <v>274</v>
      </c>
      <c r="AB47" s="124" t="s">
        <v>74</v>
      </c>
      <c r="AC47" s="124" t="s">
        <v>264</v>
      </c>
      <c r="AD47" s="124" t="s">
        <v>265</v>
      </c>
      <c r="AE47" s="124" t="s">
        <v>266</v>
      </c>
      <c r="AF47" s="124" t="s">
        <v>267</v>
      </c>
      <c r="AG47" s="124" t="s">
        <v>268</v>
      </c>
      <c r="AH47" s="124" t="s">
        <v>271</v>
      </c>
      <c r="AI47" s="124" t="s">
        <v>272</v>
      </c>
      <c r="AJ47" s="124" t="s">
        <v>273</v>
      </c>
      <c r="AK47" s="124" t="s">
        <v>274</v>
      </c>
      <c r="AM47" s="124" t="s">
        <v>74</v>
      </c>
      <c r="AN47" s="124" t="s">
        <v>264</v>
      </c>
      <c r="AO47" s="124" t="s">
        <v>265</v>
      </c>
      <c r="AP47" s="124" t="s">
        <v>266</v>
      </c>
      <c r="AQ47" s="124" t="s">
        <v>267</v>
      </c>
      <c r="AR47" s="124" t="s">
        <v>268</v>
      </c>
      <c r="AS47" s="124" t="s">
        <v>271</v>
      </c>
      <c r="AT47" s="124" t="s">
        <v>272</v>
      </c>
      <c r="AU47" s="124" t="s">
        <v>273</v>
      </c>
      <c r="AV47" s="124" t="s">
        <v>274</v>
      </c>
      <c r="AX47" s="124" t="s">
        <v>74</v>
      </c>
      <c r="AY47" s="124" t="s">
        <v>264</v>
      </c>
      <c r="AZ47" s="124" t="s">
        <v>265</v>
      </c>
      <c r="BA47" s="124" t="s">
        <v>266</v>
      </c>
      <c r="BB47" s="124" t="s">
        <v>267</v>
      </c>
      <c r="BC47" s="124" t="s">
        <v>268</v>
      </c>
      <c r="BD47" s="124" t="s">
        <v>271</v>
      </c>
      <c r="BE47" s="124" t="s">
        <v>272</v>
      </c>
      <c r="BF47" s="124" t="s">
        <v>273</v>
      </c>
      <c r="BG47" s="124" t="s">
        <v>274</v>
      </c>
      <c r="BI47" s="124" t="s">
        <v>74</v>
      </c>
      <c r="BJ47" s="124" t="s">
        <v>264</v>
      </c>
      <c r="BK47" s="124" t="s">
        <v>265</v>
      </c>
      <c r="BL47" s="124" t="s">
        <v>266</v>
      </c>
      <c r="BM47" s="124" t="s">
        <v>267</v>
      </c>
      <c r="BN47" s="124" t="s">
        <v>268</v>
      </c>
      <c r="BO47" s="124" t="s">
        <v>271</v>
      </c>
      <c r="BP47" s="124" t="s">
        <v>272</v>
      </c>
      <c r="BQ47" s="124" t="s">
        <v>273</v>
      </c>
      <c r="BR47" s="124" t="s">
        <v>274</v>
      </c>
      <c r="BT47" s="124" t="s">
        <v>74</v>
      </c>
      <c r="BU47" s="124" t="s">
        <v>264</v>
      </c>
      <c r="BV47" s="124" t="s">
        <v>265</v>
      </c>
      <c r="BW47" s="124" t="s">
        <v>266</v>
      </c>
      <c r="BX47" s="124" t="s">
        <v>267</v>
      </c>
      <c r="BY47" s="124" t="s">
        <v>268</v>
      </c>
      <c r="BZ47" s="124" t="s">
        <v>271</v>
      </c>
      <c r="CA47" s="124" t="s">
        <v>272</v>
      </c>
      <c r="CB47" s="124" t="s">
        <v>273</v>
      </c>
      <c r="CC47" s="124" t="s">
        <v>274</v>
      </c>
      <c r="CE47" s="124" t="s">
        <v>74</v>
      </c>
      <c r="CF47" s="124" t="s">
        <v>264</v>
      </c>
      <c r="CG47" s="124" t="s">
        <v>265</v>
      </c>
      <c r="CH47" s="124" t="s">
        <v>266</v>
      </c>
      <c r="CI47" s="124" t="s">
        <v>267</v>
      </c>
      <c r="CJ47" s="124" t="s">
        <v>268</v>
      </c>
      <c r="CK47" s="124" t="s">
        <v>271</v>
      </c>
      <c r="CL47" s="124" t="s">
        <v>272</v>
      </c>
      <c r="CM47" s="124" t="s">
        <v>273</v>
      </c>
      <c r="CN47" s="124" t="s">
        <v>274</v>
      </c>
      <c r="CP47" s="124" t="s">
        <v>74</v>
      </c>
      <c r="CQ47" s="124" t="s">
        <v>264</v>
      </c>
      <c r="CR47" s="124" t="s">
        <v>265</v>
      </c>
      <c r="CS47" s="124" t="s">
        <v>266</v>
      </c>
      <c r="CT47" s="124" t="s">
        <v>267</v>
      </c>
      <c r="CU47" s="124" t="s">
        <v>268</v>
      </c>
      <c r="CV47" s="124" t="s">
        <v>271</v>
      </c>
      <c r="CW47" s="124" t="s">
        <v>272</v>
      </c>
      <c r="CX47" s="124" t="s">
        <v>273</v>
      </c>
      <c r="CY47" s="124" t="s">
        <v>274</v>
      </c>
    </row>
    <row r="48" spans="1:103" ht="18" customHeight="1">
      <c r="A48" s="650" t="s">
        <v>118</v>
      </c>
      <c r="B48" s="652">
        <v>2022</v>
      </c>
      <c r="C48" s="653"/>
      <c r="D48" s="653"/>
      <c r="E48" s="654"/>
      <c r="F48" s="652">
        <v>2023</v>
      </c>
      <c r="G48" s="653"/>
      <c r="H48" s="653"/>
      <c r="I48" s="654"/>
    </row>
    <row r="49" spans="1:103" ht="15.75" thickBot="1">
      <c r="A49" s="651"/>
      <c r="B49" s="226" t="s">
        <v>105</v>
      </c>
      <c r="C49" s="227" t="s">
        <v>144</v>
      </c>
      <c r="D49" s="227" t="s">
        <v>107</v>
      </c>
      <c r="E49" s="217" t="s">
        <v>106</v>
      </c>
      <c r="F49" s="226" t="s">
        <v>105</v>
      </c>
      <c r="G49" s="227" t="s">
        <v>144</v>
      </c>
      <c r="H49" s="227" t="s">
        <v>107</v>
      </c>
      <c r="I49" s="217" t="s">
        <v>106</v>
      </c>
      <c r="Q49" s="57" t="s">
        <v>284</v>
      </c>
      <c r="BI49" s="57" t="s">
        <v>286</v>
      </c>
    </row>
    <row r="50" spans="1:103" ht="21.75" customHeight="1">
      <c r="A50" s="234" t="s">
        <v>211</v>
      </c>
      <c r="B50" s="71"/>
      <c r="C50" s="71"/>
      <c r="D50" s="71"/>
      <c r="E50" s="72"/>
      <c r="F50" s="71"/>
      <c r="G50" s="81"/>
      <c r="H50" s="247"/>
      <c r="I50" s="248"/>
      <c r="P50" s="45" t="s">
        <v>71</v>
      </c>
      <c r="Q50" s="80">
        <v>108</v>
      </c>
      <c r="R50" s="80">
        <v>39</v>
      </c>
      <c r="S50" s="80">
        <v>0</v>
      </c>
      <c r="T50" s="80">
        <v>46</v>
      </c>
      <c r="U50" s="80">
        <v>8</v>
      </c>
      <c r="V50" s="80">
        <v>12</v>
      </c>
      <c r="W50" s="80">
        <v>35</v>
      </c>
      <c r="X50" s="80">
        <v>11</v>
      </c>
      <c r="Y50" s="80">
        <v>36</v>
      </c>
      <c r="Z50" s="80">
        <v>15</v>
      </c>
      <c r="AB50" s="79">
        <v>168</v>
      </c>
      <c r="AC50" s="79">
        <v>10</v>
      </c>
      <c r="AD50" s="125">
        <v>0</v>
      </c>
      <c r="AE50" s="81">
        <v>11</v>
      </c>
      <c r="AF50" s="79">
        <v>1</v>
      </c>
      <c r="AG50" s="79">
        <v>4</v>
      </c>
      <c r="AH50" s="81">
        <v>18</v>
      </c>
      <c r="AI50" s="125">
        <v>4</v>
      </c>
      <c r="AJ50" s="81">
        <v>9</v>
      </c>
      <c r="AK50" s="81">
        <v>3</v>
      </c>
      <c r="AM50" s="79">
        <v>490</v>
      </c>
      <c r="AN50" s="81">
        <v>14</v>
      </c>
      <c r="AO50" s="125">
        <v>0</v>
      </c>
      <c r="AP50" s="81">
        <v>37</v>
      </c>
      <c r="AQ50" s="81">
        <v>3</v>
      </c>
      <c r="AR50" s="79">
        <v>0</v>
      </c>
      <c r="AS50" s="81">
        <v>607</v>
      </c>
      <c r="AT50" s="81">
        <v>13</v>
      </c>
      <c r="AU50" s="81">
        <v>30</v>
      </c>
      <c r="AV50" s="81">
        <v>46</v>
      </c>
      <c r="AX50" s="79">
        <v>173</v>
      </c>
      <c r="AY50" s="161">
        <v>7</v>
      </c>
      <c r="AZ50" s="125">
        <v>0</v>
      </c>
      <c r="BA50" s="79">
        <v>72</v>
      </c>
      <c r="BB50" s="125">
        <v>0</v>
      </c>
      <c r="BC50" s="79">
        <v>2</v>
      </c>
      <c r="BD50" s="67">
        <v>77</v>
      </c>
      <c r="BE50" s="79">
        <v>42</v>
      </c>
      <c r="BF50" s="79">
        <v>3</v>
      </c>
      <c r="BG50" s="67">
        <v>632</v>
      </c>
      <c r="BI50" s="136">
        <v>25</v>
      </c>
      <c r="BJ50" s="163">
        <v>6</v>
      </c>
      <c r="BK50" s="125">
        <v>0</v>
      </c>
      <c r="BL50" s="80">
        <v>30</v>
      </c>
      <c r="BM50" s="80">
        <v>12</v>
      </c>
      <c r="BN50" s="136">
        <v>21</v>
      </c>
      <c r="BO50" s="80">
        <v>716</v>
      </c>
      <c r="BP50" s="80">
        <v>69</v>
      </c>
      <c r="BQ50" s="80">
        <v>33</v>
      </c>
      <c r="BR50" s="80">
        <v>51</v>
      </c>
      <c r="BT50" s="81">
        <v>57</v>
      </c>
      <c r="BU50" s="81">
        <v>3</v>
      </c>
      <c r="BV50" s="125">
        <v>0</v>
      </c>
      <c r="BW50" s="81">
        <v>58</v>
      </c>
      <c r="BX50" s="81">
        <v>36</v>
      </c>
      <c r="BY50" s="79">
        <v>19</v>
      </c>
      <c r="BZ50" s="81">
        <v>335</v>
      </c>
      <c r="CA50" s="81">
        <v>6</v>
      </c>
      <c r="CB50" s="81">
        <v>13</v>
      </c>
      <c r="CC50" s="81">
        <v>0</v>
      </c>
      <c r="CE50" s="81">
        <v>149</v>
      </c>
      <c r="CF50" s="81">
        <v>13</v>
      </c>
      <c r="CG50" s="125">
        <v>1</v>
      </c>
      <c r="CH50" s="81">
        <v>18</v>
      </c>
      <c r="CI50" s="81">
        <v>10</v>
      </c>
      <c r="CJ50" s="81">
        <v>16</v>
      </c>
      <c r="CK50" s="81">
        <v>120</v>
      </c>
      <c r="CL50" s="81">
        <v>0</v>
      </c>
      <c r="CM50" s="81">
        <v>18</v>
      </c>
      <c r="CN50" s="81">
        <v>8</v>
      </c>
      <c r="CP50" s="67">
        <v>361</v>
      </c>
      <c r="CQ50" s="79">
        <v>6</v>
      </c>
      <c r="CR50" s="125">
        <v>0</v>
      </c>
      <c r="CS50" s="79">
        <v>32</v>
      </c>
      <c r="CT50" s="125">
        <v>0</v>
      </c>
      <c r="CU50" s="79">
        <v>10</v>
      </c>
      <c r="CV50" s="67">
        <v>136</v>
      </c>
      <c r="CW50" s="79">
        <v>3</v>
      </c>
      <c r="CX50" s="79">
        <v>2</v>
      </c>
      <c r="CY50" s="67">
        <v>65</v>
      </c>
    </row>
    <row r="51" spans="1:103" ht="22.5" customHeight="1" thickBot="1">
      <c r="A51" s="235" t="s">
        <v>212</v>
      </c>
      <c r="B51" s="71"/>
      <c r="C51" s="71"/>
      <c r="D51" s="71"/>
      <c r="E51" s="72"/>
      <c r="F51" s="71"/>
      <c r="G51" s="81"/>
      <c r="H51" s="247"/>
      <c r="I51" s="248"/>
      <c r="P51" s="45" t="s">
        <v>290</v>
      </c>
      <c r="Q51" s="82">
        <v>18</v>
      </c>
      <c r="R51" s="82">
        <v>5</v>
      </c>
      <c r="S51" s="82">
        <v>2</v>
      </c>
      <c r="T51" s="82">
        <v>2</v>
      </c>
      <c r="U51" s="82">
        <v>14</v>
      </c>
      <c r="V51" s="82">
        <v>11</v>
      </c>
      <c r="W51" s="82">
        <v>12</v>
      </c>
      <c r="X51" s="82">
        <v>1</v>
      </c>
      <c r="Y51" s="82">
        <v>2</v>
      </c>
      <c r="Z51" s="82">
        <v>17</v>
      </c>
      <c r="AB51" s="79">
        <v>13</v>
      </c>
      <c r="AC51" s="68">
        <v>5</v>
      </c>
      <c r="AD51" s="125">
        <v>0</v>
      </c>
      <c r="AE51" s="68">
        <v>1</v>
      </c>
      <c r="AF51" s="68">
        <v>17</v>
      </c>
      <c r="AG51" s="68">
        <v>14</v>
      </c>
      <c r="AH51" s="68">
        <v>11</v>
      </c>
      <c r="AI51" s="125">
        <v>0</v>
      </c>
      <c r="AJ51" s="68">
        <v>0</v>
      </c>
      <c r="AK51" s="68">
        <v>1</v>
      </c>
      <c r="AM51" s="79">
        <v>24</v>
      </c>
      <c r="AN51" s="68">
        <v>10</v>
      </c>
      <c r="AO51" s="125">
        <v>0</v>
      </c>
      <c r="AP51" s="68">
        <v>2</v>
      </c>
      <c r="AQ51" s="68">
        <v>8</v>
      </c>
      <c r="AR51" s="79">
        <v>6</v>
      </c>
      <c r="AS51" s="68">
        <v>7</v>
      </c>
      <c r="AT51" s="68">
        <v>2</v>
      </c>
      <c r="AU51" s="68">
        <v>3</v>
      </c>
      <c r="AV51" s="68">
        <v>5</v>
      </c>
      <c r="AX51" s="79">
        <v>36</v>
      </c>
      <c r="AY51" s="161">
        <v>11</v>
      </c>
      <c r="AZ51" s="125">
        <v>1</v>
      </c>
      <c r="BA51" s="79">
        <v>0</v>
      </c>
      <c r="BB51" s="125">
        <v>0</v>
      </c>
      <c r="BC51" s="79">
        <v>14</v>
      </c>
      <c r="BD51" s="69">
        <v>13</v>
      </c>
      <c r="BE51" s="79">
        <v>3</v>
      </c>
      <c r="BF51" s="79">
        <v>3</v>
      </c>
      <c r="BG51" s="69">
        <v>13</v>
      </c>
      <c r="BI51" s="136">
        <v>20</v>
      </c>
      <c r="BJ51" s="164">
        <v>8</v>
      </c>
      <c r="BK51" s="125">
        <v>2</v>
      </c>
      <c r="BL51" s="82">
        <v>3</v>
      </c>
      <c r="BM51" s="82">
        <v>7</v>
      </c>
      <c r="BN51" s="82">
        <v>10</v>
      </c>
      <c r="BO51" s="82">
        <v>10</v>
      </c>
      <c r="BP51" s="82">
        <v>3</v>
      </c>
      <c r="BQ51" s="82">
        <v>2</v>
      </c>
      <c r="BR51" s="82">
        <v>17</v>
      </c>
      <c r="BT51" s="68">
        <v>22</v>
      </c>
      <c r="BU51" s="68">
        <v>3</v>
      </c>
      <c r="BV51" s="125">
        <v>1</v>
      </c>
      <c r="BW51" s="68">
        <v>4</v>
      </c>
      <c r="BX51" s="68">
        <v>9</v>
      </c>
      <c r="BY51" s="68">
        <v>13</v>
      </c>
      <c r="BZ51" s="68">
        <v>14</v>
      </c>
      <c r="CA51" s="68">
        <v>1</v>
      </c>
      <c r="CB51" s="68">
        <v>1</v>
      </c>
      <c r="CC51" s="68">
        <v>10</v>
      </c>
      <c r="CE51" s="68">
        <v>23</v>
      </c>
      <c r="CF51" s="68">
        <v>6</v>
      </c>
      <c r="CG51" s="125">
        <v>0</v>
      </c>
      <c r="CH51" s="68">
        <v>3</v>
      </c>
      <c r="CI51" s="68">
        <v>8</v>
      </c>
      <c r="CJ51" s="68">
        <v>18</v>
      </c>
      <c r="CK51" s="68">
        <v>10</v>
      </c>
      <c r="CL51" s="68">
        <v>5</v>
      </c>
      <c r="CM51" s="68">
        <v>4</v>
      </c>
      <c r="CN51" s="68">
        <v>15</v>
      </c>
      <c r="CP51" s="69">
        <v>23</v>
      </c>
      <c r="CQ51" s="79">
        <v>4</v>
      </c>
      <c r="CR51" s="125">
        <v>0</v>
      </c>
      <c r="CS51" s="79">
        <v>2</v>
      </c>
      <c r="CT51" s="125">
        <v>0</v>
      </c>
      <c r="CU51" s="79">
        <v>20</v>
      </c>
      <c r="CV51" s="69">
        <v>14</v>
      </c>
      <c r="CW51" s="79">
        <v>1</v>
      </c>
      <c r="CX51" s="79">
        <v>3</v>
      </c>
      <c r="CY51" s="69">
        <v>11</v>
      </c>
    </row>
    <row r="52" spans="1:103" ht="15" customHeight="1">
      <c r="A52" s="57" t="s">
        <v>213</v>
      </c>
      <c r="B52" s="57"/>
      <c r="F52" s="267"/>
    </row>
    <row r="53" spans="1:103" ht="13.5" thickBot="1"/>
    <row r="54" spans="1:103" ht="19.5" customHeight="1" thickBot="1">
      <c r="A54" s="645" t="s">
        <v>140</v>
      </c>
      <c r="B54" s="646"/>
      <c r="C54" s="646"/>
      <c r="D54" s="646"/>
      <c r="E54" s="646"/>
      <c r="F54" s="646"/>
      <c r="G54" s="646"/>
      <c r="H54" s="646"/>
      <c r="I54" s="647"/>
    </row>
    <row r="55" spans="1:103" ht="15" customHeight="1">
      <c r="A55" s="650" t="s">
        <v>118</v>
      </c>
      <c r="B55" s="652">
        <v>2022</v>
      </c>
      <c r="C55" s="653"/>
      <c r="D55" s="653"/>
      <c r="E55" s="654"/>
      <c r="F55" s="652">
        <v>2023</v>
      </c>
      <c r="G55" s="653"/>
      <c r="H55" s="653"/>
      <c r="I55" s="654"/>
    </row>
    <row r="56" spans="1:103" ht="15.75" customHeight="1" thickBot="1">
      <c r="A56" s="651"/>
      <c r="B56" s="226" t="s">
        <v>105</v>
      </c>
      <c r="C56" s="227" t="s">
        <v>144</v>
      </c>
      <c r="D56" s="227" t="s">
        <v>107</v>
      </c>
      <c r="E56" s="217" t="s">
        <v>106</v>
      </c>
      <c r="F56" s="226" t="s">
        <v>105</v>
      </c>
      <c r="G56" s="227" t="s">
        <v>144</v>
      </c>
      <c r="H56" s="227" t="s">
        <v>107</v>
      </c>
      <c r="I56" s="217" t="s">
        <v>106</v>
      </c>
      <c r="Q56" s="57" t="s">
        <v>283</v>
      </c>
      <c r="BI56" s="57" t="s">
        <v>285</v>
      </c>
    </row>
    <row r="57" spans="1:103" ht="23.25" customHeight="1">
      <c r="A57" s="234" t="s">
        <v>155</v>
      </c>
      <c r="B57" s="146"/>
      <c r="C57" s="71"/>
      <c r="D57" s="71"/>
      <c r="E57" s="72"/>
      <c r="F57" s="71"/>
      <c r="G57" s="247"/>
      <c r="H57" s="247"/>
      <c r="I57" s="248"/>
      <c r="P57" s="45" t="s">
        <v>291</v>
      </c>
      <c r="Q57" s="108">
        <v>0</v>
      </c>
      <c r="R57" s="108">
        <v>0</v>
      </c>
      <c r="S57" s="108">
        <v>0</v>
      </c>
      <c r="T57" s="108">
        <v>1</v>
      </c>
      <c r="U57" s="108">
        <v>1</v>
      </c>
      <c r="V57" s="108">
        <v>1</v>
      </c>
      <c r="W57" s="108">
        <v>0</v>
      </c>
      <c r="X57" s="108">
        <v>0</v>
      </c>
      <c r="Y57" s="108">
        <v>0</v>
      </c>
      <c r="Z57" s="108">
        <v>0</v>
      </c>
      <c r="AB57" s="137">
        <v>0</v>
      </c>
      <c r="AC57" s="137">
        <v>1</v>
      </c>
      <c r="AD57" s="125">
        <v>0</v>
      </c>
      <c r="AE57" s="109">
        <v>1</v>
      </c>
      <c r="AF57" s="137">
        <v>2</v>
      </c>
      <c r="AG57" s="137">
        <v>1</v>
      </c>
      <c r="AH57" s="109">
        <v>0</v>
      </c>
      <c r="AI57" s="137">
        <v>0</v>
      </c>
      <c r="AJ57" s="109">
        <v>0</v>
      </c>
      <c r="AK57" s="109">
        <v>0</v>
      </c>
      <c r="AM57" s="109">
        <v>2</v>
      </c>
      <c r="AN57" s="152">
        <v>1</v>
      </c>
      <c r="AO57" s="109">
        <v>0</v>
      </c>
      <c r="AP57" s="109">
        <v>0</v>
      </c>
      <c r="AQ57" s="109">
        <v>3</v>
      </c>
      <c r="AR57" s="109">
        <v>2</v>
      </c>
      <c r="AS57" s="109">
        <v>0</v>
      </c>
      <c r="AT57" s="109">
        <v>0</v>
      </c>
      <c r="AU57" s="109">
        <v>0</v>
      </c>
      <c r="AV57" s="109">
        <v>0</v>
      </c>
      <c r="AX57" s="137">
        <v>0</v>
      </c>
      <c r="AY57" s="162">
        <v>0</v>
      </c>
      <c r="AZ57" s="137">
        <v>0</v>
      </c>
      <c r="BA57" s="137">
        <v>2</v>
      </c>
      <c r="BB57" s="137">
        <v>0</v>
      </c>
      <c r="BC57" s="141">
        <v>0</v>
      </c>
      <c r="BD57" s="110">
        <v>0</v>
      </c>
      <c r="BE57" s="137">
        <v>0</v>
      </c>
      <c r="BF57" s="137">
        <v>1</v>
      </c>
      <c r="BG57" s="110">
        <v>0</v>
      </c>
      <c r="BI57" s="141">
        <v>0</v>
      </c>
      <c r="BJ57" s="165">
        <v>1</v>
      </c>
      <c r="BK57" s="125">
        <v>0</v>
      </c>
      <c r="BL57" s="108">
        <v>0</v>
      </c>
      <c r="BM57" s="108">
        <v>2</v>
      </c>
      <c r="BN57" s="108">
        <v>0</v>
      </c>
      <c r="BO57" s="108">
        <v>0</v>
      </c>
      <c r="BP57" s="108">
        <v>0</v>
      </c>
      <c r="BQ57" s="108">
        <v>3</v>
      </c>
      <c r="BR57" s="108">
        <v>0</v>
      </c>
      <c r="BT57" s="109">
        <v>0</v>
      </c>
      <c r="BU57" s="109">
        <v>0</v>
      </c>
      <c r="BV57" s="125">
        <v>0</v>
      </c>
      <c r="BW57" s="109">
        <v>0</v>
      </c>
      <c r="BX57" s="109">
        <v>1</v>
      </c>
      <c r="BY57" s="109">
        <v>0</v>
      </c>
      <c r="BZ57" s="109">
        <v>0</v>
      </c>
      <c r="CA57" s="109">
        <v>2</v>
      </c>
      <c r="CB57" s="109">
        <v>0</v>
      </c>
      <c r="CC57" s="109">
        <v>1</v>
      </c>
      <c r="CE57" s="109">
        <v>0</v>
      </c>
      <c r="CF57" s="109">
        <v>1</v>
      </c>
      <c r="CG57" s="125">
        <v>1</v>
      </c>
      <c r="CH57" s="109">
        <v>0</v>
      </c>
      <c r="CI57" s="109">
        <v>0</v>
      </c>
      <c r="CJ57" s="109">
        <v>1</v>
      </c>
      <c r="CK57" s="109">
        <v>1</v>
      </c>
      <c r="CL57" s="109">
        <v>1</v>
      </c>
      <c r="CM57" s="109">
        <v>0</v>
      </c>
      <c r="CN57" s="109">
        <v>0</v>
      </c>
      <c r="CP57" s="110">
        <v>0</v>
      </c>
      <c r="CQ57" s="137">
        <v>0</v>
      </c>
      <c r="CR57" s="125">
        <v>0</v>
      </c>
      <c r="CS57" s="137">
        <v>0</v>
      </c>
      <c r="CT57" s="137">
        <v>0</v>
      </c>
      <c r="CU57" s="137">
        <v>0</v>
      </c>
      <c r="CV57" s="110">
        <v>1</v>
      </c>
      <c r="CW57" s="137">
        <v>0</v>
      </c>
      <c r="CX57" s="137">
        <v>0</v>
      </c>
      <c r="CY57" s="110">
        <v>0</v>
      </c>
    </row>
    <row r="58" spans="1:103" ht="23.25" customHeight="1" thickBot="1">
      <c r="A58" s="235" t="s">
        <v>108</v>
      </c>
      <c r="B58" s="146"/>
      <c r="C58" s="71"/>
      <c r="D58" s="71"/>
      <c r="E58" s="72"/>
      <c r="F58" s="71"/>
      <c r="G58" s="247"/>
      <c r="H58" s="247"/>
      <c r="I58" s="248"/>
      <c r="P58" s="45" t="s">
        <v>292</v>
      </c>
      <c r="Q58" s="111">
        <v>1</v>
      </c>
      <c r="R58" s="111">
        <v>2</v>
      </c>
      <c r="S58" s="111">
        <v>2</v>
      </c>
      <c r="T58" s="111">
        <v>1</v>
      </c>
      <c r="U58" s="111">
        <v>19</v>
      </c>
      <c r="V58" s="111">
        <v>12</v>
      </c>
      <c r="W58" s="111">
        <v>7</v>
      </c>
      <c r="X58" s="111">
        <v>0</v>
      </c>
      <c r="Y58" s="111">
        <v>5</v>
      </c>
      <c r="Z58" s="111">
        <v>2</v>
      </c>
      <c r="AB58" s="137">
        <v>0</v>
      </c>
      <c r="AC58" s="112">
        <v>3</v>
      </c>
      <c r="AD58" s="125">
        <v>0</v>
      </c>
      <c r="AE58" s="112">
        <v>0</v>
      </c>
      <c r="AF58" s="112">
        <v>16</v>
      </c>
      <c r="AG58" s="112">
        <v>3</v>
      </c>
      <c r="AH58" s="112">
        <v>5</v>
      </c>
      <c r="AI58" s="112">
        <v>0</v>
      </c>
      <c r="AJ58" s="112">
        <v>4</v>
      </c>
      <c r="AK58" s="112">
        <v>5</v>
      </c>
      <c r="AM58" s="112">
        <v>1</v>
      </c>
      <c r="AN58" s="153">
        <v>2</v>
      </c>
      <c r="AO58" s="112">
        <v>0</v>
      </c>
      <c r="AP58" s="112">
        <v>1</v>
      </c>
      <c r="AQ58" s="112">
        <v>15</v>
      </c>
      <c r="AR58" s="112">
        <v>4</v>
      </c>
      <c r="AS58" s="112">
        <v>1</v>
      </c>
      <c r="AT58" s="112">
        <v>0</v>
      </c>
      <c r="AU58" s="112">
        <v>1</v>
      </c>
      <c r="AV58" s="112">
        <v>0</v>
      </c>
      <c r="AX58" s="137">
        <v>3</v>
      </c>
      <c r="AY58" s="162">
        <v>1</v>
      </c>
      <c r="AZ58" s="137">
        <v>12</v>
      </c>
      <c r="BA58" s="137">
        <v>0</v>
      </c>
      <c r="BB58" s="137">
        <v>21</v>
      </c>
      <c r="BC58" s="141">
        <v>10</v>
      </c>
      <c r="BD58" s="113">
        <v>4</v>
      </c>
      <c r="BE58" s="137">
        <v>0</v>
      </c>
      <c r="BF58" s="137">
        <v>1</v>
      </c>
      <c r="BG58" s="113">
        <v>0</v>
      </c>
      <c r="BI58" s="141">
        <v>1</v>
      </c>
      <c r="BJ58" s="166">
        <v>2</v>
      </c>
      <c r="BK58" s="125">
        <v>0</v>
      </c>
      <c r="BL58" s="111">
        <v>0</v>
      </c>
      <c r="BM58" s="111">
        <v>8</v>
      </c>
      <c r="BN58" s="111">
        <v>10</v>
      </c>
      <c r="BO58" s="111">
        <v>5</v>
      </c>
      <c r="BP58" s="111">
        <v>1</v>
      </c>
      <c r="BQ58" s="111">
        <v>0</v>
      </c>
      <c r="BR58" s="111">
        <v>1</v>
      </c>
      <c r="BT58" s="112">
        <v>0</v>
      </c>
      <c r="BU58" s="112">
        <v>1</v>
      </c>
      <c r="BV58" s="125">
        <v>1</v>
      </c>
      <c r="BW58" s="112">
        <v>0</v>
      </c>
      <c r="BX58" s="112">
        <v>6</v>
      </c>
      <c r="BY58" s="112">
        <v>7</v>
      </c>
      <c r="BZ58" s="112">
        <v>6</v>
      </c>
      <c r="CA58" s="112">
        <v>0</v>
      </c>
      <c r="CB58" s="112">
        <v>1</v>
      </c>
      <c r="CC58" s="112">
        <v>1</v>
      </c>
      <c r="CE58" s="112">
        <v>1</v>
      </c>
      <c r="CF58" s="112">
        <v>2</v>
      </c>
      <c r="CG58" s="125">
        <v>0</v>
      </c>
      <c r="CH58" s="112">
        <v>3</v>
      </c>
      <c r="CI58" s="112">
        <v>9</v>
      </c>
      <c r="CJ58" s="112">
        <v>13</v>
      </c>
      <c r="CK58" s="112">
        <v>3</v>
      </c>
      <c r="CL58" s="112">
        <v>2</v>
      </c>
      <c r="CM58" s="112">
        <v>2</v>
      </c>
      <c r="CN58" s="112">
        <v>0</v>
      </c>
      <c r="CP58" s="113">
        <v>0</v>
      </c>
      <c r="CQ58" s="137">
        <v>1</v>
      </c>
      <c r="CR58" s="125">
        <v>0</v>
      </c>
      <c r="CS58" s="137">
        <v>2</v>
      </c>
      <c r="CT58" s="137">
        <v>7</v>
      </c>
      <c r="CU58" s="137">
        <v>5</v>
      </c>
      <c r="CV58" s="113">
        <v>3</v>
      </c>
      <c r="CW58" s="137">
        <v>3</v>
      </c>
      <c r="CX58" s="137">
        <v>1</v>
      </c>
      <c r="CY58" s="113">
        <v>0</v>
      </c>
    </row>
    <row r="59" spans="1:103">
      <c r="A59" s="57" t="s">
        <v>154</v>
      </c>
    </row>
    <row r="60" spans="1:103" ht="13.5" thickBot="1"/>
    <row r="61" spans="1:103" ht="16.5" thickBot="1">
      <c r="A61" s="655" t="s">
        <v>170</v>
      </c>
      <c r="B61" s="656"/>
      <c r="C61" s="656"/>
      <c r="D61" s="656"/>
      <c r="E61" s="656"/>
      <c r="F61" s="656"/>
      <c r="G61" s="656"/>
      <c r="H61" s="656"/>
      <c r="I61" s="657"/>
    </row>
    <row r="62" spans="1:103" ht="15">
      <c r="A62" s="650" t="s">
        <v>118</v>
      </c>
      <c r="B62" s="652">
        <v>2022</v>
      </c>
      <c r="C62" s="653"/>
      <c r="D62" s="653"/>
      <c r="E62" s="654"/>
      <c r="F62" s="652">
        <v>2023</v>
      </c>
      <c r="G62" s="653"/>
      <c r="H62" s="653"/>
      <c r="I62" s="654"/>
    </row>
    <row r="63" spans="1:103" ht="15.75" thickBot="1">
      <c r="A63" s="651"/>
      <c r="B63" s="226" t="s">
        <v>105</v>
      </c>
      <c r="C63" s="227" t="s">
        <v>144</v>
      </c>
      <c r="D63" s="227" t="s">
        <v>107</v>
      </c>
      <c r="E63" s="217" t="s">
        <v>106</v>
      </c>
      <c r="F63" s="226" t="s">
        <v>105</v>
      </c>
      <c r="G63" s="227" t="s">
        <v>144</v>
      </c>
      <c r="H63" s="227" t="s">
        <v>107</v>
      </c>
      <c r="I63" s="217" t="s">
        <v>106</v>
      </c>
      <c r="Q63" s="45" t="s">
        <v>287</v>
      </c>
    </row>
    <row r="64" spans="1:103" ht="20.25" customHeight="1">
      <c r="A64" s="234" t="s">
        <v>171</v>
      </c>
      <c r="B64" s="146"/>
      <c r="C64" s="71"/>
      <c r="D64" s="71"/>
      <c r="E64" s="72"/>
      <c r="F64" s="71">
        <v>580</v>
      </c>
      <c r="G64" s="247">
        <v>450</v>
      </c>
      <c r="H64" s="247">
        <v>250</v>
      </c>
      <c r="I64" s="248"/>
      <c r="P64" s="45" t="s">
        <v>293</v>
      </c>
      <c r="Q64" s="108">
        <v>31122</v>
      </c>
      <c r="R64" s="108">
        <v>13344</v>
      </c>
      <c r="S64" s="108">
        <v>8802</v>
      </c>
      <c r="T64" s="108">
        <v>12939</v>
      </c>
      <c r="U64" s="108">
        <v>36385</v>
      </c>
      <c r="V64" s="108">
        <v>30761</v>
      </c>
      <c r="W64" s="108">
        <v>15439</v>
      </c>
      <c r="X64" s="108">
        <v>7858</v>
      </c>
      <c r="Y64" s="108">
        <v>11801</v>
      </c>
      <c r="Z64" s="108">
        <v>22746</v>
      </c>
      <c r="AB64" s="137">
        <v>5116</v>
      </c>
      <c r="AC64" s="137">
        <v>9870</v>
      </c>
      <c r="AD64" s="137">
        <v>143</v>
      </c>
      <c r="AE64" s="109">
        <v>1700</v>
      </c>
      <c r="AF64" s="137">
        <v>24536</v>
      </c>
      <c r="AG64" s="137">
        <v>5066</v>
      </c>
      <c r="AH64" s="109">
        <v>3639</v>
      </c>
      <c r="AI64" s="137">
        <v>795</v>
      </c>
      <c r="AJ64" s="109">
        <v>7256</v>
      </c>
      <c r="AK64" s="109">
        <v>11364</v>
      </c>
      <c r="AM64" s="109">
        <v>11644</v>
      </c>
      <c r="AN64" s="152">
        <v>10005</v>
      </c>
      <c r="AO64" s="109">
        <v>3061</v>
      </c>
      <c r="AP64" s="109">
        <v>4863</v>
      </c>
      <c r="AQ64" s="109">
        <v>12753</v>
      </c>
      <c r="AR64" s="109">
        <v>4762</v>
      </c>
      <c r="AS64" s="109">
        <v>3796</v>
      </c>
      <c r="AT64" s="109">
        <v>2987</v>
      </c>
      <c r="AU64" s="109">
        <v>5176</v>
      </c>
      <c r="AV64" s="109">
        <v>11770</v>
      </c>
      <c r="AX64" s="137">
        <v>3452</v>
      </c>
      <c r="AY64" s="162">
        <v>10001</v>
      </c>
      <c r="AZ64" s="137">
        <v>2054</v>
      </c>
      <c r="BA64" s="137">
        <v>4950</v>
      </c>
      <c r="BB64" s="137">
        <v>5278</v>
      </c>
      <c r="BC64" s="137">
        <v>3948</v>
      </c>
      <c r="BD64" s="110">
        <v>3326</v>
      </c>
      <c r="BE64" s="137">
        <v>3012</v>
      </c>
      <c r="BF64" s="137">
        <v>3922</v>
      </c>
      <c r="BG64" s="110">
        <v>10847</v>
      </c>
      <c r="BI64" s="141">
        <v>38338</v>
      </c>
      <c r="BJ64" s="165">
        <v>21460</v>
      </c>
      <c r="BK64" s="141">
        <v>9701</v>
      </c>
      <c r="BL64" s="108">
        <v>18313</v>
      </c>
      <c r="BM64" s="108">
        <v>30452</v>
      </c>
      <c r="BN64" s="108">
        <v>44387</v>
      </c>
      <c r="BO64" s="108">
        <v>18640</v>
      </c>
      <c r="BP64" s="108">
        <v>11888</v>
      </c>
      <c r="BQ64" s="108">
        <v>16292</v>
      </c>
      <c r="BR64" s="108">
        <v>24560</v>
      </c>
      <c r="BT64" s="109">
        <v>15324</v>
      </c>
      <c r="BU64" s="109">
        <v>20613</v>
      </c>
      <c r="BV64" s="109">
        <v>4066</v>
      </c>
      <c r="BW64" s="109">
        <v>8760</v>
      </c>
      <c r="BX64" s="109">
        <v>21236</v>
      </c>
      <c r="BY64" s="109">
        <v>9282</v>
      </c>
      <c r="BZ64" s="109">
        <v>4330</v>
      </c>
      <c r="CA64" s="109">
        <v>4200</v>
      </c>
      <c r="CB64" s="109">
        <v>6178</v>
      </c>
      <c r="CC64" s="109">
        <v>18300</v>
      </c>
      <c r="CE64" s="109">
        <v>10435</v>
      </c>
      <c r="CF64" s="109">
        <v>10218</v>
      </c>
      <c r="CG64" s="109">
        <v>3015</v>
      </c>
      <c r="CH64" s="109">
        <v>13061</v>
      </c>
      <c r="CI64" s="109">
        <v>9542</v>
      </c>
      <c r="CJ64" s="109">
        <v>6297</v>
      </c>
      <c r="CK64" s="109">
        <v>3998</v>
      </c>
      <c r="CL64" s="109">
        <v>2220</v>
      </c>
      <c r="CM64" s="109">
        <v>10844</v>
      </c>
      <c r="CN64" s="109">
        <v>17632</v>
      </c>
      <c r="CP64" s="110">
        <v>9082</v>
      </c>
      <c r="CQ64" s="137">
        <v>9373</v>
      </c>
      <c r="CR64" s="137">
        <v>1364</v>
      </c>
      <c r="CS64" s="137">
        <v>18736</v>
      </c>
      <c r="CT64" s="137">
        <v>5575</v>
      </c>
      <c r="CU64" s="137">
        <v>9012</v>
      </c>
      <c r="CV64" s="110">
        <v>1280</v>
      </c>
      <c r="CW64" s="137">
        <v>1360</v>
      </c>
      <c r="CX64" s="137">
        <v>2647</v>
      </c>
      <c r="CY64" s="110">
        <v>10378</v>
      </c>
    </row>
    <row r="65" spans="1:103" ht="20.25" customHeight="1" thickBot="1">
      <c r="A65" s="235" t="s">
        <v>172</v>
      </c>
      <c r="B65" s="146"/>
      <c r="C65" s="71"/>
      <c r="D65" s="71"/>
      <c r="E65" s="72"/>
      <c r="F65" s="71">
        <v>980</v>
      </c>
      <c r="G65" s="247">
        <v>745</v>
      </c>
      <c r="H65" s="247"/>
      <c r="I65" s="248"/>
      <c r="P65" s="45" t="s">
        <v>206</v>
      </c>
      <c r="Q65" s="111">
        <v>88391</v>
      </c>
      <c r="R65" s="111">
        <v>32652</v>
      </c>
      <c r="S65" s="111">
        <v>25865</v>
      </c>
      <c r="T65" s="111">
        <v>33250</v>
      </c>
      <c r="U65" s="111">
        <v>117556</v>
      </c>
      <c r="V65" s="111">
        <v>83425</v>
      </c>
      <c r="W65" s="111">
        <v>39406</v>
      </c>
      <c r="X65" s="111">
        <v>20835</v>
      </c>
      <c r="Y65" s="111">
        <v>26944</v>
      </c>
      <c r="Z65" s="111">
        <v>47746</v>
      </c>
      <c r="AB65" s="137">
        <v>31617</v>
      </c>
      <c r="AC65" s="112">
        <v>45302</v>
      </c>
      <c r="AD65" s="112">
        <v>2897</v>
      </c>
      <c r="AE65" s="112">
        <v>16230</v>
      </c>
      <c r="AF65" s="112">
        <v>125636</v>
      </c>
      <c r="AG65" s="112">
        <v>72983</v>
      </c>
      <c r="AH65" s="112">
        <v>32730</v>
      </c>
      <c r="AI65" s="112">
        <v>7040</v>
      </c>
      <c r="AJ65" s="112">
        <v>35773</v>
      </c>
      <c r="AK65" s="112">
        <v>47609</v>
      </c>
      <c r="AM65" s="112">
        <v>110068</v>
      </c>
      <c r="AN65" s="153">
        <v>46208</v>
      </c>
      <c r="AO65" s="112">
        <v>33401</v>
      </c>
      <c r="AP65" s="112">
        <v>38798</v>
      </c>
      <c r="AQ65" s="112">
        <v>216680</v>
      </c>
      <c r="AR65" s="112">
        <v>93883</v>
      </c>
      <c r="AS65" s="112">
        <v>54344</v>
      </c>
      <c r="AT65" s="112">
        <v>28491</v>
      </c>
      <c r="AU65" s="112">
        <v>39403</v>
      </c>
      <c r="AV65" s="112">
        <v>61873</v>
      </c>
      <c r="AX65" s="113">
        <v>105318</v>
      </c>
      <c r="AY65" s="137">
        <v>76769</v>
      </c>
      <c r="AZ65" s="137">
        <v>32360</v>
      </c>
      <c r="BA65" s="137">
        <v>40659</v>
      </c>
      <c r="BB65" s="137">
        <v>114483</v>
      </c>
      <c r="BC65" s="137">
        <v>48476</v>
      </c>
      <c r="BD65" s="113">
        <v>57548</v>
      </c>
      <c r="BE65" s="137">
        <v>36119</v>
      </c>
      <c r="BF65" s="137">
        <v>39535</v>
      </c>
      <c r="BG65" s="113">
        <v>55020</v>
      </c>
      <c r="BI65" s="141">
        <v>98450</v>
      </c>
      <c r="BJ65" s="166">
        <v>54029</v>
      </c>
      <c r="BK65" s="111">
        <v>27766</v>
      </c>
      <c r="BL65" s="111">
        <v>44640</v>
      </c>
      <c r="BM65" s="111">
        <v>142365</v>
      </c>
      <c r="BN65" s="111">
        <v>99541</v>
      </c>
      <c r="BO65" s="111">
        <v>45202</v>
      </c>
      <c r="BP65" s="111">
        <v>34877</v>
      </c>
      <c r="BQ65" s="111">
        <v>34662</v>
      </c>
      <c r="BR65" s="111">
        <v>56921</v>
      </c>
      <c r="BT65" s="112">
        <f>98075+15324</f>
        <v>113399</v>
      </c>
      <c r="BU65" s="112">
        <v>78786</v>
      </c>
      <c r="BV65" s="112">
        <v>35558</v>
      </c>
      <c r="BW65" s="112">
        <v>60935</v>
      </c>
      <c r="BX65" s="112">
        <v>140842</v>
      </c>
      <c r="BY65" s="112">
        <v>105097</v>
      </c>
      <c r="BZ65" s="112">
        <v>56958</v>
      </c>
      <c r="CA65" s="112">
        <v>38089</v>
      </c>
      <c r="CB65" s="112">
        <v>44955</v>
      </c>
      <c r="CC65" s="112">
        <v>78920</v>
      </c>
      <c r="CE65" s="112">
        <v>147234</v>
      </c>
      <c r="CF65" s="112">
        <v>96702</v>
      </c>
      <c r="CG65" s="112">
        <v>35769</v>
      </c>
      <c r="CH65" s="112">
        <v>78793</v>
      </c>
      <c r="CI65" s="112">
        <v>150158</v>
      </c>
      <c r="CJ65" s="112">
        <v>134646</v>
      </c>
      <c r="CK65" s="112">
        <v>64649</v>
      </c>
      <c r="CL65" s="112">
        <v>41236</v>
      </c>
      <c r="CM65" s="112">
        <v>66349</v>
      </c>
      <c r="CN65" s="112">
        <v>87900</v>
      </c>
      <c r="CP65" s="113">
        <v>125957</v>
      </c>
      <c r="CQ65" s="137">
        <v>83020</v>
      </c>
      <c r="CR65" s="137">
        <v>32070</v>
      </c>
      <c r="CS65" s="137">
        <v>71523</v>
      </c>
      <c r="CT65" s="137">
        <v>119385</v>
      </c>
      <c r="CU65" s="137">
        <v>140474</v>
      </c>
      <c r="CV65" s="113">
        <v>40171</v>
      </c>
      <c r="CW65" s="137">
        <v>36277</v>
      </c>
      <c r="CX65" s="137">
        <v>60553</v>
      </c>
      <c r="CY65" s="113">
        <v>80555</v>
      </c>
    </row>
    <row r="66" spans="1:103" s="285" customFormat="1">
      <c r="C66" s="286"/>
      <c r="D66" s="286"/>
      <c r="E66" s="286"/>
      <c r="F66" s="286"/>
      <c r="H66" s="286"/>
      <c r="I66" s="286"/>
      <c r="L66" s="286"/>
    </row>
    <row r="67" spans="1:103" s="114" customFormat="1">
      <c r="B67" s="114" t="s">
        <v>205</v>
      </c>
      <c r="C67" s="249"/>
      <c r="D67" s="249" t="s">
        <v>206</v>
      </c>
      <c r="E67" s="249"/>
      <c r="F67" s="249"/>
      <c r="H67" s="249"/>
      <c r="I67" s="249"/>
      <c r="L67" s="249"/>
    </row>
    <row r="68" spans="1:103" s="114" customFormat="1">
      <c r="B68" s="114">
        <v>2022</v>
      </c>
      <c r="C68" s="249">
        <v>2023</v>
      </c>
      <c r="D68" s="249">
        <v>2022</v>
      </c>
      <c r="E68" s="249">
        <v>2023</v>
      </c>
      <c r="F68" s="249" t="s">
        <v>207</v>
      </c>
      <c r="H68" s="249" t="s">
        <v>208</v>
      </c>
      <c r="I68" s="249"/>
      <c r="L68" s="249"/>
    </row>
    <row r="69" spans="1:103" s="114" customFormat="1">
      <c r="A69" s="114" t="s">
        <v>131</v>
      </c>
      <c r="B69" s="301">
        <f>+B64</f>
        <v>0</v>
      </c>
      <c r="C69" s="302">
        <f>+F64</f>
        <v>580</v>
      </c>
      <c r="D69" s="249">
        <f>+B65</f>
        <v>0</v>
      </c>
      <c r="E69" s="249">
        <f>+F65</f>
        <v>980</v>
      </c>
      <c r="F69" s="303">
        <f>+C69/$D$14</f>
        <v>0.38666666666666666</v>
      </c>
      <c r="G69" s="304">
        <f>1-F69</f>
        <v>0.61333333333333329</v>
      </c>
      <c r="H69" s="305">
        <f>+E69/C69</f>
        <v>1.6896551724137931</v>
      </c>
      <c r="I69" s="249"/>
      <c r="L69" s="249"/>
    </row>
    <row r="70" spans="1:103" s="114" customFormat="1">
      <c r="A70" s="114" t="s">
        <v>132</v>
      </c>
      <c r="B70" s="114">
        <f>+C64</f>
        <v>0</v>
      </c>
      <c r="C70" s="249">
        <f>+G64</f>
        <v>450</v>
      </c>
      <c r="D70" s="249">
        <f>+C65</f>
        <v>0</v>
      </c>
      <c r="E70" s="249">
        <f>+G65</f>
        <v>745</v>
      </c>
      <c r="F70" s="303">
        <f>(C70/$D$14)+F69</f>
        <v>0.68666666666666665</v>
      </c>
      <c r="G70" s="304">
        <f>1-F70</f>
        <v>0.31333333333333335</v>
      </c>
      <c r="H70" s="305">
        <f>+E70/C70</f>
        <v>1.6555555555555554</v>
      </c>
      <c r="I70" s="249"/>
      <c r="L70" s="249"/>
    </row>
    <row r="71" spans="1:103" s="114" customFormat="1">
      <c r="A71" s="114" t="s">
        <v>133</v>
      </c>
      <c r="B71" s="114">
        <f>+D64</f>
        <v>0</v>
      </c>
      <c r="C71" s="302">
        <f>+H64</f>
        <v>250</v>
      </c>
      <c r="D71" s="249">
        <f>+D65</f>
        <v>0</v>
      </c>
      <c r="E71" s="249">
        <f>+H65</f>
        <v>0</v>
      </c>
      <c r="F71" s="303">
        <f>(C71/$D$14)+F70</f>
        <v>0.85333333333333328</v>
      </c>
      <c r="G71" s="304">
        <f>1-F71</f>
        <v>0.14666666666666672</v>
      </c>
      <c r="H71" s="249">
        <f>+E71/C71</f>
        <v>0</v>
      </c>
      <c r="I71" s="249"/>
      <c r="L71" s="249"/>
    </row>
    <row r="72" spans="1:103" s="114" customFormat="1">
      <c r="A72" s="114" t="s">
        <v>134</v>
      </c>
      <c r="B72" s="114">
        <f>+E64</f>
        <v>0</v>
      </c>
      <c r="C72" s="249">
        <f>+I64</f>
        <v>0</v>
      </c>
      <c r="D72" s="249">
        <f>+E65</f>
        <v>0</v>
      </c>
      <c r="E72" s="249">
        <f>+I65</f>
        <v>0</v>
      </c>
      <c r="F72" s="303">
        <f>(C72/$D$14)+F71</f>
        <v>0.85333333333333328</v>
      </c>
      <c r="G72" s="304">
        <f>1-F72</f>
        <v>0.14666666666666672</v>
      </c>
      <c r="H72" s="305" t="e">
        <f>+E72/C72</f>
        <v>#DIV/0!</v>
      </c>
      <c r="I72" s="249"/>
      <c r="L72" s="249"/>
    </row>
    <row r="73" spans="1:103" s="114" customFormat="1">
      <c r="A73" s="114" t="s">
        <v>136</v>
      </c>
      <c r="B73" s="114">
        <f>SUM(B69:B72)</f>
        <v>0</v>
      </c>
      <c r="C73" s="249">
        <f>SUM(C69:C72)</f>
        <v>1280</v>
      </c>
      <c r="D73" s="249">
        <f>SUM(D69:D72)</f>
        <v>0</v>
      </c>
      <c r="E73" s="249">
        <f>SUM(E69:E72)</f>
        <v>1725</v>
      </c>
      <c r="F73" s="249"/>
      <c r="H73" s="305">
        <f>+E73/C73</f>
        <v>1.34765625</v>
      </c>
      <c r="I73" s="249"/>
      <c r="L73" s="249"/>
    </row>
    <row r="74" spans="1:103" s="114" customFormat="1">
      <c r="C74" s="249"/>
      <c r="D74" s="249"/>
      <c r="E74" s="249"/>
      <c r="F74" s="249"/>
      <c r="H74" s="249"/>
      <c r="I74" s="249"/>
      <c r="L74" s="249"/>
    </row>
    <row r="75" spans="1:103" s="285" customFormat="1">
      <c r="C75" s="286"/>
      <c r="D75" s="286"/>
      <c r="E75" s="286"/>
      <c r="F75" s="286"/>
      <c r="H75" s="286"/>
      <c r="I75" s="286"/>
      <c r="L75" s="286"/>
    </row>
    <row r="76" spans="1:103" s="285" customFormat="1">
      <c r="C76" s="286"/>
      <c r="D76" s="286"/>
      <c r="E76" s="286"/>
      <c r="F76" s="286"/>
      <c r="H76" s="286"/>
      <c r="I76" s="286"/>
      <c r="L76" s="286"/>
    </row>
    <row r="77" spans="1:103" s="114" customFormat="1">
      <c r="C77" s="249"/>
      <c r="D77" s="249"/>
      <c r="E77" s="249"/>
      <c r="F77" s="249"/>
      <c r="H77" s="249"/>
      <c r="I77" s="249"/>
      <c r="L77" s="249"/>
    </row>
    <row r="78" spans="1:103" s="114" customFormat="1">
      <c r="C78" s="249"/>
      <c r="D78" s="249"/>
      <c r="E78" s="249"/>
      <c r="F78" s="249"/>
      <c r="H78" s="249"/>
      <c r="I78" s="249"/>
      <c r="L78" s="249"/>
    </row>
    <row r="79" spans="1:103" s="114" customFormat="1">
      <c r="C79" s="249"/>
      <c r="D79" s="249"/>
      <c r="E79" s="249"/>
      <c r="F79" s="249"/>
      <c r="H79" s="249"/>
      <c r="I79" s="249"/>
      <c r="L79" s="249"/>
    </row>
    <row r="80" spans="1:103" s="114" customFormat="1">
      <c r="C80" s="249"/>
      <c r="D80" s="249"/>
      <c r="E80" s="249"/>
      <c r="F80" s="249"/>
      <c r="H80" s="249"/>
      <c r="I80" s="249"/>
      <c r="L80" s="249"/>
    </row>
    <row r="81" spans="1:12">
      <c r="A81" s="57"/>
      <c r="B81" s="57"/>
      <c r="C81" s="267"/>
      <c r="D81" s="267"/>
      <c r="E81" s="267"/>
      <c r="F81" s="267"/>
      <c r="G81" s="57"/>
      <c r="H81" s="267"/>
      <c r="I81" s="267"/>
      <c r="J81" s="57"/>
      <c r="K81" s="57"/>
      <c r="L81" s="267"/>
    </row>
    <row r="82" spans="1:12">
      <c r="A82" s="57"/>
      <c r="B82" s="57"/>
      <c r="C82" s="267"/>
      <c r="D82" s="267"/>
      <c r="E82" s="267"/>
      <c r="F82" s="267"/>
      <c r="G82" s="57"/>
      <c r="H82" s="267"/>
      <c r="I82" s="267"/>
      <c r="J82" s="57"/>
      <c r="K82" s="57"/>
      <c r="L82" s="267"/>
    </row>
    <row r="83" spans="1:12">
      <c r="A83" s="57"/>
      <c r="B83" s="57"/>
      <c r="C83" s="267"/>
      <c r="D83" s="267"/>
      <c r="E83" s="267"/>
      <c r="F83" s="267"/>
      <c r="G83" s="57"/>
      <c r="H83" s="267"/>
      <c r="I83" s="267"/>
      <c r="J83" s="57"/>
      <c r="K83" s="57"/>
      <c r="L83" s="267"/>
    </row>
    <row r="84" spans="1:12">
      <c r="A84" s="57"/>
      <c r="B84" s="57"/>
      <c r="C84" s="267"/>
      <c r="D84" s="267"/>
      <c r="E84" s="267"/>
      <c r="F84" s="267"/>
      <c r="G84" s="57"/>
      <c r="H84" s="267"/>
      <c r="I84" s="267"/>
      <c r="J84" s="57"/>
      <c r="K84" s="57"/>
      <c r="L84" s="267"/>
    </row>
    <row r="85" spans="1:12">
      <c r="A85" s="57"/>
      <c r="B85" s="57"/>
      <c r="C85" s="267"/>
      <c r="D85" s="267"/>
      <c r="E85" s="267"/>
      <c r="F85" s="267"/>
      <c r="G85" s="57"/>
      <c r="H85" s="267"/>
      <c r="I85" s="267"/>
      <c r="J85" s="57"/>
      <c r="K85" s="57"/>
      <c r="L85" s="267"/>
    </row>
    <row r="86" spans="1:12">
      <c r="A86" s="57"/>
      <c r="B86" s="57"/>
      <c r="C86" s="267"/>
      <c r="D86" s="267"/>
      <c r="E86" s="267"/>
      <c r="F86" s="267"/>
      <c r="G86" s="57"/>
      <c r="H86" s="267"/>
      <c r="I86" s="267"/>
      <c r="J86" s="57"/>
      <c r="K86" s="57"/>
      <c r="L86" s="267"/>
    </row>
    <row r="87" spans="1:12">
      <c r="A87" s="57"/>
      <c r="B87" s="57"/>
      <c r="C87" s="267"/>
      <c r="D87" s="267"/>
      <c r="E87" s="267"/>
      <c r="F87" s="267"/>
      <c r="G87" s="57"/>
      <c r="H87" s="267"/>
      <c r="I87" s="267"/>
      <c r="J87" s="57"/>
      <c r="K87" s="57"/>
      <c r="L87" s="267"/>
    </row>
    <row r="88" spans="1:12">
      <c r="A88" s="57"/>
      <c r="B88" s="57"/>
      <c r="C88" s="267"/>
      <c r="D88" s="267"/>
      <c r="E88" s="267"/>
      <c r="F88" s="267"/>
      <c r="G88" s="57"/>
      <c r="H88" s="267"/>
      <c r="I88" s="267"/>
      <c r="J88" s="57"/>
      <c r="K88" s="57"/>
      <c r="L88" s="267"/>
    </row>
    <row r="89" spans="1:12">
      <c r="A89" s="57"/>
      <c r="B89" s="57"/>
      <c r="C89" s="267"/>
      <c r="D89" s="267"/>
      <c r="E89" s="267"/>
      <c r="F89" s="267"/>
      <c r="G89" s="57"/>
      <c r="H89" s="267"/>
      <c r="I89" s="267"/>
      <c r="J89" s="57"/>
      <c r="K89" s="57"/>
      <c r="L89" s="267"/>
    </row>
    <row r="90" spans="1:12">
      <c r="A90" s="57"/>
      <c r="B90" s="57"/>
      <c r="C90" s="267"/>
      <c r="D90" s="267"/>
      <c r="E90" s="267"/>
      <c r="F90" s="267"/>
      <c r="G90" s="57"/>
      <c r="H90" s="267"/>
      <c r="I90" s="267"/>
      <c r="J90" s="57"/>
      <c r="K90" s="57"/>
      <c r="L90" s="267"/>
    </row>
    <row r="91" spans="1:12">
      <c r="A91" s="57"/>
      <c r="B91" s="57"/>
      <c r="C91" s="267"/>
      <c r="D91" s="267"/>
      <c r="E91" s="267"/>
      <c r="F91" s="267"/>
      <c r="G91" s="57"/>
      <c r="H91" s="267"/>
      <c r="I91" s="267"/>
      <c r="J91" s="57"/>
      <c r="K91" s="57"/>
      <c r="L91" s="267"/>
    </row>
    <row r="92" spans="1:12">
      <c r="A92" s="57"/>
      <c r="B92" s="57"/>
      <c r="C92" s="267"/>
      <c r="D92" s="267"/>
      <c r="E92" s="267"/>
      <c r="F92" s="267"/>
      <c r="G92" s="57"/>
      <c r="H92" s="267"/>
      <c r="I92" s="267"/>
      <c r="J92" s="57"/>
      <c r="K92" s="57"/>
      <c r="L92" s="267"/>
    </row>
    <row r="93" spans="1:12">
      <c r="A93" s="57"/>
      <c r="B93" s="57"/>
      <c r="C93" s="267"/>
      <c r="D93" s="267"/>
      <c r="E93" s="267"/>
      <c r="F93" s="267"/>
      <c r="G93" s="57"/>
      <c r="H93" s="267"/>
      <c r="I93" s="267"/>
      <c r="J93" s="57"/>
      <c r="K93" s="57"/>
      <c r="L93" s="267"/>
    </row>
    <row r="94" spans="1:12">
      <c r="A94" s="57"/>
      <c r="B94" s="57"/>
      <c r="C94" s="267"/>
      <c r="D94" s="267"/>
      <c r="E94" s="267"/>
      <c r="F94" s="267"/>
      <c r="G94" s="57"/>
      <c r="H94" s="267"/>
      <c r="I94" s="267"/>
      <c r="J94" s="57"/>
      <c r="K94" s="57"/>
      <c r="L94" s="267"/>
    </row>
    <row r="95" spans="1:12">
      <c r="A95" s="57"/>
      <c r="B95" s="57"/>
      <c r="C95" s="267"/>
      <c r="D95" s="267"/>
      <c r="E95" s="267"/>
      <c r="F95" s="267"/>
      <c r="G95" s="57"/>
      <c r="H95" s="267"/>
      <c r="I95" s="267"/>
      <c r="J95" s="57"/>
      <c r="K95" s="57"/>
      <c r="L95" s="267"/>
    </row>
    <row r="96" spans="1:12">
      <c r="A96" s="57"/>
      <c r="B96" s="57"/>
      <c r="C96" s="267"/>
      <c r="D96" s="267"/>
      <c r="E96" s="267"/>
      <c r="F96" s="267"/>
      <c r="G96" s="57"/>
      <c r="H96" s="267"/>
      <c r="I96" s="267"/>
      <c r="J96" s="57"/>
      <c r="K96" s="57"/>
      <c r="L96" s="267"/>
    </row>
    <row r="97" spans="1:12">
      <c r="A97" s="57"/>
      <c r="B97" s="57"/>
      <c r="C97" s="267"/>
      <c r="D97" s="267"/>
      <c r="E97" s="267"/>
      <c r="F97" s="267"/>
      <c r="G97" s="57"/>
      <c r="H97" s="267"/>
      <c r="I97" s="267"/>
      <c r="J97" s="57"/>
      <c r="K97" s="57"/>
      <c r="L97" s="267"/>
    </row>
    <row r="98" spans="1:12">
      <c r="A98" s="57"/>
      <c r="B98" s="57"/>
      <c r="C98" s="267"/>
      <c r="D98" s="267"/>
      <c r="E98" s="267"/>
      <c r="F98" s="267"/>
      <c r="G98" s="57"/>
      <c r="H98" s="267"/>
      <c r="I98" s="267"/>
      <c r="J98" s="57"/>
      <c r="K98" s="57"/>
      <c r="L98" s="267"/>
    </row>
    <row r="99" spans="1:12">
      <c r="A99" s="57"/>
      <c r="B99" s="57"/>
      <c r="C99" s="267"/>
      <c r="D99" s="267"/>
      <c r="E99" s="267"/>
      <c r="F99" s="267"/>
      <c r="G99" s="57"/>
      <c r="H99" s="267"/>
      <c r="I99" s="267"/>
      <c r="J99" s="57"/>
      <c r="K99" s="57"/>
      <c r="L99" s="267"/>
    </row>
  </sheetData>
  <sheetProtection selectLockedCells="1"/>
  <mergeCells count="57">
    <mergeCell ref="B55:E55"/>
    <mergeCell ref="F55:I55"/>
    <mergeCell ref="A54:I54"/>
    <mergeCell ref="A55:A56"/>
    <mergeCell ref="A40:B40"/>
    <mergeCell ref="A41:B41"/>
    <mergeCell ref="A47:I47"/>
    <mergeCell ref="A48:A49"/>
    <mergeCell ref="B48:E48"/>
    <mergeCell ref="F48:I48"/>
    <mergeCell ref="A42:B42"/>
    <mergeCell ref="A44:B44"/>
    <mergeCell ref="A2:B2"/>
    <mergeCell ref="C2:K2"/>
    <mergeCell ref="A4:D4"/>
    <mergeCell ref="A5:B5"/>
    <mergeCell ref="A6:B6"/>
    <mergeCell ref="F4:I4"/>
    <mergeCell ref="F5:G5"/>
    <mergeCell ref="A35:B35"/>
    <mergeCell ref="A62:A63"/>
    <mergeCell ref="B62:E62"/>
    <mergeCell ref="F62:I62"/>
    <mergeCell ref="A23:B23"/>
    <mergeCell ref="A26:B26"/>
    <mergeCell ref="A61:I61"/>
    <mergeCell ref="A32:B32"/>
    <mergeCell ref="A37:B37"/>
    <mergeCell ref="A39:F39"/>
    <mergeCell ref="A25:B25"/>
    <mergeCell ref="A29:F29"/>
    <mergeCell ref="A30:B30"/>
    <mergeCell ref="A31:B31"/>
    <mergeCell ref="A33:B33"/>
    <mergeCell ref="A34:B34"/>
    <mergeCell ref="A20:B20"/>
    <mergeCell ref="A21:B21"/>
    <mergeCell ref="A22:B22"/>
    <mergeCell ref="A9:B9"/>
    <mergeCell ref="A10:B10"/>
    <mergeCell ref="A11:B11"/>
    <mergeCell ref="A12:B12"/>
    <mergeCell ref="A14:B14"/>
    <mergeCell ref="A18:F18"/>
    <mergeCell ref="A19:B19"/>
    <mergeCell ref="A7:B7"/>
    <mergeCell ref="A8:B8"/>
    <mergeCell ref="A13:B13"/>
    <mergeCell ref="AX19:BG19"/>
    <mergeCell ref="Q4:T4"/>
    <mergeCell ref="U4:V4"/>
    <mergeCell ref="W4:Y4"/>
    <mergeCell ref="Q19:Z19"/>
    <mergeCell ref="AB19:AK19"/>
    <mergeCell ref="AM19:AV19"/>
    <mergeCell ref="F7:G7"/>
    <mergeCell ref="F6:G6"/>
  </mergeCells>
  <pageMargins left="0.70866141732283472" right="0.70866141732283472" top="0.74803149606299213" bottom="0.74803149606299213" header="0.31496062992125984" footer="0.31496062992125984"/>
  <pageSetup scale="50" orientation="landscape" r:id="rId1"/>
  <ignoredErrors>
    <ignoredError sqref="C2 C45:F45" unlockedFormula="1"/>
    <ignoredError sqref="F70:H73 F69 H69" evalError="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tabColor rgb="FF00B050"/>
  </sheetPr>
  <dimension ref="A1:FO454"/>
  <sheetViews>
    <sheetView topLeftCell="A21" zoomScale="90" zoomScaleNormal="90" workbookViewId="0">
      <selection activeCell="K30" sqref="K30"/>
    </sheetView>
  </sheetViews>
  <sheetFormatPr baseColWidth="10" defaultColWidth="11.42578125" defaultRowHeight="16.5"/>
  <cols>
    <col min="1" max="2" width="7.28515625" style="573" customWidth="1"/>
    <col min="3" max="3" width="20.140625" style="573" customWidth="1"/>
    <col min="4" max="4" width="7.42578125" style="574" customWidth="1"/>
    <col min="5" max="5" width="39.85546875" style="575" customWidth="1"/>
    <col min="6" max="6" width="34.140625" style="576" customWidth="1"/>
    <col min="7" max="10" width="9.140625" style="576" customWidth="1"/>
    <col min="11" max="11" width="31.5703125" style="577" customWidth="1"/>
    <col min="12" max="15" width="8.5703125" style="574" customWidth="1"/>
    <col min="16" max="16" width="12.5703125" style="573" customWidth="1"/>
    <col min="17" max="19" width="10.140625" style="573" customWidth="1"/>
    <col min="20" max="20" width="11" style="573" customWidth="1"/>
    <col min="21" max="21" width="14" style="573" customWidth="1"/>
    <col min="22" max="22" width="14.5703125" style="573" customWidth="1"/>
    <col min="23" max="23" width="16.85546875" style="573" customWidth="1"/>
    <col min="24" max="24" width="16.140625" style="553" customWidth="1"/>
    <col min="25" max="25" width="15.42578125" style="553" customWidth="1"/>
    <col min="26" max="26" width="13.42578125" style="553" customWidth="1"/>
    <col min="27" max="27" width="13" style="554" customWidth="1"/>
    <col min="28" max="29" width="11.42578125" style="550"/>
    <col min="30" max="30" width="11.42578125" style="550" customWidth="1"/>
    <col min="31" max="34" width="11.42578125" style="307" customWidth="1"/>
    <col min="35" max="35" width="25.140625" style="307" customWidth="1"/>
    <col min="36" max="36" width="11.42578125" style="307" customWidth="1"/>
    <col min="37" max="37" width="16.85546875" style="307" customWidth="1"/>
    <col min="38" max="39" width="11.42578125" style="307" customWidth="1"/>
    <col min="40" max="40" width="15.5703125" style="307" customWidth="1"/>
    <col min="41" max="41" width="22.7109375" style="307" customWidth="1"/>
    <col min="42" max="43" width="15.5703125" style="307" customWidth="1"/>
    <col min="44" max="44" width="22.140625" style="307" customWidth="1"/>
    <col min="45" max="50" width="15.5703125" style="307" customWidth="1"/>
    <col min="51" max="105" width="11.42578125" style="307" customWidth="1"/>
    <col min="106" max="126" width="11.42578125" style="280" customWidth="1"/>
    <col min="127" max="145" width="11.42578125" style="280"/>
    <col min="146" max="163" width="11.42578125" style="521"/>
    <col min="164" max="171" width="11.42578125" style="532"/>
    <col min="172" max="16384" width="11.42578125" style="147"/>
  </cols>
  <sheetData>
    <row r="1" spans="1:171" s="520" customFormat="1" ht="23.25">
      <c r="A1" s="515" t="s">
        <v>141</v>
      </c>
      <c r="B1" s="515"/>
      <c r="C1" s="516"/>
      <c r="D1" s="516"/>
      <c r="E1" s="517"/>
      <c r="F1" s="518"/>
      <c r="G1" s="518"/>
      <c r="H1" s="518"/>
      <c r="I1" s="518"/>
      <c r="J1" s="518"/>
      <c r="K1" s="518"/>
      <c r="L1" s="519"/>
      <c r="M1" s="519"/>
      <c r="N1" s="519"/>
      <c r="O1" s="519"/>
      <c r="P1" s="516"/>
      <c r="Q1" s="516"/>
      <c r="R1" s="516"/>
      <c r="S1" s="516"/>
      <c r="T1" s="516"/>
      <c r="U1" s="516"/>
      <c r="V1" s="516"/>
      <c r="W1" s="516"/>
      <c r="AE1" s="307"/>
      <c r="AF1" s="307"/>
      <c r="AG1" s="307"/>
      <c r="AH1" s="307"/>
      <c r="AI1" s="307"/>
      <c r="AJ1" s="307"/>
      <c r="AK1" s="307"/>
      <c r="AL1" s="307"/>
      <c r="AM1" s="307"/>
      <c r="AN1" s="307"/>
      <c r="AO1" s="307"/>
      <c r="AP1" s="307"/>
      <c r="AQ1" s="307"/>
      <c r="AR1" s="307"/>
      <c r="AS1" s="307"/>
      <c r="AT1" s="307"/>
      <c r="AU1" s="307"/>
      <c r="AV1" s="307"/>
      <c r="AW1" s="307"/>
      <c r="AX1" s="307"/>
      <c r="AY1" s="307"/>
      <c r="AZ1" s="307"/>
      <c r="BA1" s="307"/>
      <c r="BB1" s="307"/>
      <c r="BC1" s="307"/>
      <c r="BD1" s="307"/>
      <c r="BE1" s="307"/>
      <c r="BF1" s="307"/>
      <c r="BG1" s="307"/>
      <c r="BH1" s="307"/>
      <c r="BI1" s="307"/>
      <c r="BJ1" s="307"/>
      <c r="BK1" s="307"/>
      <c r="BL1" s="307"/>
      <c r="BM1" s="307"/>
      <c r="BN1" s="307"/>
      <c r="BO1" s="307"/>
      <c r="BP1" s="307"/>
      <c r="BQ1" s="307"/>
      <c r="BR1" s="307"/>
      <c r="BS1" s="307"/>
      <c r="BT1" s="307"/>
      <c r="BU1" s="307"/>
      <c r="BV1" s="307"/>
      <c r="BW1" s="307"/>
      <c r="BX1" s="307"/>
      <c r="BY1" s="307"/>
      <c r="BZ1" s="307"/>
      <c r="CA1" s="307"/>
      <c r="CB1" s="307"/>
      <c r="CC1" s="307"/>
      <c r="CD1" s="307"/>
      <c r="CE1" s="307"/>
      <c r="CF1" s="307"/>
      <c r="CG1" s="307"/>
      <c r="CH1" s="307"/>
      <c r="CI1" s="307"/>
      <c r="CJ1" s="307"/>
      <c r="CK1" s="307"/>
      <c r="CL1" s="307"/>
      <c r="CM1" s="307"/>
      <c r="CN1" s="307"/>
      <c r="CO1" s="307"/>
      <c r="CP1" s="307"/>
      <c r="CQ1" s="307"/>
      <c r="CR1" s="307"/>
      <c r="CS1" s="307"/>
      <c r="CT1" s="307"/>
      <c r="CU1" s="307"/>
      <c r="CV1" s="307"/>
      <c r="CW1" s="307"/>
      <c r="CX1" s="307"/>
      <c r="CY1" s="307"/>
      <c r="CZ1" s="307"/>
      <c r="DA1" s="307"/>
      <c r="DB1" s="280"/>
      <c r="DC1" s="280"/>
      <c r="DD1" s="280"/>
      <c r="DE1" s="280"/>
      <c r="DF1" s="280"/>
      <c r="DG1" s="280"/>
      <c r="DH1" s="280"/>
      <c r="DI1" s="280"/>
      <c r="DJ1" s="280"/>
      <c r="DK1" s="280"/>
      <c r="DL1" s="280"/>
      <c r="DM1" s="280"/>
      <c r="DN1" s="280"/>
      <c r="DO1" s="280"/>
      <c r="DP1" s="280"/>
      <c r="DQ1" s="280"/>
      <c r="DR1" s="280"/>
      <c r="DS1" s="280"/>
      <c r="DT1" s="280"/>
      <c r="DU1" s="280"/>
      <c r="DV1" s="280"/>
      <c r="DW1" s="280"/>
      <c r="DX1" s="280"/>
      <c r="DY1" s="280"/>
      <c r="DZ1" s="280"/>
      <c r="EA1" s="280"/>
      <c r="EB1" s="280"/>
      <c r="EC1" s="280"/>
      <c r="ED1" s="280"/>
      <c r="EE1" s="280"/>
      <c r="EF1" s="280"/>
      <c r="EG1" s="280"/>
      <c r="EH1" s="280"/>
      <c r="EI1" s="280"/>
      <c r="EJ1" s="280"/>
      <c r="EK1" s="280"/>
      <c r="EL1" s="280"/>
      <c r="EM1" s="280"/>
      <c r="EN1" s="280"/>
      <c r="EO1" s="280"/>
      <c r="EP1" s="521"/>
      <c r="EQ1" s="521"/>
      <c r="ER1" s="521"/>
      <c r="ES1" s="521"/>
      <c r="ET1" s="521"/>
      <c r="EU1" s="521"/>
      <c r="EV1" s="521"/>
      <c r="EW1" s="521"/>
      <c r="EX1" s="521"/>
      <c r="EY1" s="521"/>
      <c r="EZ1" s="521"/>
      <c r="FA1" s="521"/>
      <c r="FB1" s="521"/>
      <c r="FC1" s="521"/>
      <c r="FD1" s="521"/>
      <c r="FE1" s="521"/>
      <c r="FF1" s="521"/>
      <c r="FG1" s="521"/>
    </row>
    <row r="2" spans="1:171" s="528" customFormat="1" ht="13.9" customHeight="1" thickBot="1">
      <c r="A2" s="522"/>
      <c r="B2" s="522"/>
      <c r="C2" s="523"/>
      <c r="D2" s="524"/>
      <c r="E2" s="525"/>
      <c r="F2" s="526"/>
      <c r="G2" s="526"/>
      <c r="H2" s="526"/>
      <c r="I2" s="526"/>
      <c r="J2" s="526"/>
      <c r="K2" s="527"/>
      <c r="L2" s="524"/>
      <c r="M2" s="524"/>
      <c r="N2" s="524"/>
      <c r="O2" s="524"/>
      <c r="P2" s="523"/>
      <c r="Q2" s="523"/>
      <c r="R2" s="523"/>
      <c r="S2" s="523"/>
      <c r="T2" s="523"/>
      <c r="U2" s="523"/>
      <c r="V2" s="523"/>
      <c r="W2" s="523"/>
      <c r="AE2" s="307"/>
      <c r="AF2" s="307"/>
      <c r="AG2" s="307"/>
      <c r="AH2" s="307"/>
      <c r="AI2" s="307"/>
      <c r="AJ2" s="307"/>
      <c r="AK2" s="307"/>
      <c r="AL2" s="307"/>
      <c r="AM2" s="307"/>
      <c r="AN2" s="307"/>
      <c r="AO2" s="307"/>
      <c r="AP2" s="308" t="s">
        <v>267</v>
      </c>
      <c r="AQ2" s="307"/>
      <c r="AR2" s="307"/>
      <c r="AS2" s="307"/>
      <c r="AT2" s="307"/>
      <c r="AU2" s="307"/>
      <c r="AV2" s="307"/>
      <c r="AW2" s="307"/>
      <c r="AX2" s="307"/>
      <c r="AY2" s="307"/>
      <c r="AZ2" s="307"/>
      <c r="BA2" s="307"/>
      <c r="BB2" s="307"/>
      <c r="BC2" s="307"/>
      <c r="BD2" s="307"/>
      <c r="BE2" s="307"/>
      <c r="BF2" s="307"/>
      <c r="BG2" s="307"/>
      <c r="BH2" s="307"/>
      <c r="BI2" s="307"/>
      <c r="BJ2" s="307"/>
      <c r="BK2" s="307"/>
      <c r="BL2" s="307"/>
      <c r="BM2" s="307"/>
      <c r="BN2" s="307"/>
      <c r="BO2" s="307"/>
      <c r="BP2" s="307"/>
      <c r="BQ2" s="307"/>
      <c r="BR2" s="307"/>
      <c r="BS2" s="307"/>
      <c r="BT2" s="307"/>
      <c r="BU2" s="307"/>
      <c r="BV2" s="307"/>
      <c r="BW2" s="307"/>
      <c r="BX2" s="307"/>
      <c r="BY2" s="307"/>
      <c r="BZ2" s="307"/>
      <c r="CA2" s="307"/>
      <c r="CB2" s="307"/>
      <c r="CC2" s="307"/>
      <c r="CD2" s="307"/>
      <c r="CE2" s="307"/>
      <c r="CF2" s="307"/>
      <c r="CG2" s="307"/>
      <c r="CH2" s="307"/>
      <c r="CI2" s="307"/>
      <c r="CJ2" s="307"/>
      <c r="CK2" s="307"/>
      <c r="CL2" s="307"/>
      <c r="CM2" s="307"/>
      <c r="CN2" s="307"/>
      <c r="CO2" s="307"/>
      <c r="CP2" s="307"/>
      <c r="CQ2" s="307"/>
      <c r="CR2" s="307"/>
      <c r="CS2" s="307"/>
      <c r="CT2" s="307"/>
      <c r="CU2" s="307"/>
      <c r="CV2" s="307"/>
      <c r="CW2" s="307"/>
      <c r="CX2" s="307"/>
      <c r="CY2" s="307"/>
      <c r="CZ2" s="307"/>
      <c r="DA2" s="307"/>
      <c r="DB2" s="280"/>
      <c r="DC2" s="280"/>
      <c r="DD2" s="280"/>
      <c r="DE2" s="280"/>
      <c r="DF2" s="280"/>
      <c r="DG2" s="280"/>
      <c r="DH2" s="280"/>
      <c r="DI2" s="280"/>
      <c r="DJ2" s="280"/>
      <c r="DK2" s="280"/>
      <c r="DL2" s="280"/>
      <c r="DM2" s="280"/>
      <c r="DN2" s="280"/>
      <c r="DO2" s="280"/>
      <c r="DP2" s="280"/>
      <c r="DQ2" s="280"/>
      <c r="DR2" s="280"/>
      <c r="DS2" s="280"/>
      <c r="DT2" s="280"/>
      <c r="DU2" s="280"/>
      <c r="DV2" s="280"/>
      <c r="DW2" s="280"/>
      <c r="DX2" s="280"/>
      <c r="DY2" s="280"/>
      <c r="DZ2" s="280"/>
      <c r="EA2" s="280"/>
      <c r="EB2" s="280"/>
      <c r="EC2" s="280"/>
      <c r="ED2" s="280"/>
      <c r="EE2" s="280"/>
      <c r="EF2" s="280"/>
      <c r="EG2" s="280"/>
      <c r="EH2" s="280"/>
      <c r="EI2" s="280"/>
      <c r="EJ2" s="280"/>
      <c r="EK2" s="280"/>
      <c r="EL2" s="280"/>
      <c r="EM2" s="280"/>
      <c r="EN2" s="280"/>
      <c r="EO2" s="280"/>
      <c r="EP2" s="521"/>
      <c r="EQ2" s="521"/>
      <c r="ER2" s="521"/>
      <c r="ES2" s="521"/>
      <c r="ET2" s="521"/>
      <c r="EU2" s="521"/>
      <c r="EV2" s="521"/>
      <c r="EW2" s="521"/>
      <c r="EX2" s="521"/>
      <c r="EY2" s="521"/>
      <c r="EZ2" s="521"/>
      <c r="FA2" s="521"/>
      <c r="FB2" s="521"/>
      <c r="FC2" s="521"/>
      <c r="FD2" s="521"/>
      <c r="FE2" s="521"/>
      <c r="FF2" s="521"/>
      <c r="FG2" s="521"/>
    </row>
    <row r="3" spans="1:171" s="528" customFormat="1" ht="21.6" customHeight="1" thickBot="1">
      <c r="A3" s="522"/>
      <c r="B3" s="673" t="s">
        <v>485</v>
      </c>
      <c r="C3" s="673"/>
      <c r="D3" s="673"/>
      <c r="E3" s="530" t="s">
        <v>267</v>
      </c>
      <c r="F3" s="529" t="s">
        <v>486</v>
      </c>
      <c r="G3" s="680" t="s">
        <v>267</v>
      </c>
      <c r="H3" s="681"/>
      <c r="I3" s="681"/>
      <c r="J3" s="682"/>
      <c r="K3" s="527"/>
      <c r="L3" s="524"/>
      <c r="M3" s="524"/>
      <c r="N3" s="524"/>
      <c r="O3" s="524"/>
      <c r="P3" s="523"/>
      <c r="Q3" s="523"/>
      <c r="R3" s="523"/>
      <c r="S3" s="523"/>
      <c r="T3" s="523"/>
      <c r="U3" s="523"/>
      <c r="V3" s="523"/>
      <c r="W3" s="523"/>
      <c r="X3" s="523"/>
      <c r="Y3" s="523"/>
      <c r="AE3" s="307"/>
      <c r="AF3" s="307"/>
      <c r="AG3" s="307"/>
      <c r="AH3" s="307"/>
      <c r="AI3" s="307"/>
      <c r="AJ3" s="307"/>
      <c r="AK3" s="307"/>
      <c r="AL3" s="307"/>
      <c r="AM3" s="307"/>
      <c r="AN3" s="307"/>
      <c r="AO3" s="307"/>
      <c r="AP3" s="307"/>
      <c r="AQ3" s="307"/>
      <c r="AR3" s="307"/>
      <c r="AS3" s="307"/>
      <c r="AT3" s="307"/>
      <c r="AU3" s="307"/>
      <c r="AV3" s="307"/>
      <c r="AW3" s="307"/>
      <c r="AX3" s="307"/>
      <c r="AY3" s="307"/>
      <c r="AZ3" s="307"/>
      <c r="BA3" s="307"/>
      <c r="BB3" s="307"/>
      <c r="BC3" s="307"/>
      <c r="BD3" s="307"/>
      <c r="BE3" s="307"/>
      <c r="BF3" s="307"/>
      <c r="BG3" s="307"/>
      <c r="BH3" s="307"/>
      <c r="BI3" s="307"/>
      <c r="BJ3" s="307"/>
      <c r="BK3" s="307"/>
      <c r="BL3" s="307"/>
      <c r="BM3" s="307"/>
      <c r="BN3" s="307"/>
      <c r="BO3" s="307"/>
      <c r="BP3" s="307"/>
      <c r="BQ3" s="307"/>
      <c r="BR3" s="307"/>
      <c r="BS3" s="307"/>
      <c r="BT3" s="307"/>
      <c r="BU3" s="307"/>
      <c r="BV3" s="307"/>
      <c r="BW3" s="307"/>
      <c r="BX3" s="307"/>
      <c r="BY3" s="307"/>
      <c r="BZ3" s="307"/>
      <c r="CA3" s="307"/>
      <c r="CB3" s="307"/>
      <c r="CC3" s="307"/>
      <c r="CD3" s="307"/>
      <c r="CE3" s="307"/>
      <c r="CF3" s="307"/>
      <c r="CG3" s="307"/>
      <c r="CH3" s="307"/>
      <c r="CI3" s="307"/>
      <c r="CJ3" s="307"/>
      <c r="CK3" s="307"/>
      <c r="CL3" s="307"/>
      <c r="CM3" s="307"/>
      <c r="CN3" s="307"/>
      <c r="CO3" s="307"/>
      <c r="CP3" s="307"/>
      <c r="CQ3" s="307"/>
      <c r="CR3" s="307"/>
      <c r="CS3" s="307"/>
      <c r="CT3" s="307"/>
      <c r="CU3" s="307"/>
      <c r="CV3" s="307"/>
      <c r="CW3" s="307"/>
      <c r="CX3" s="307"/>
      <c r="CY3" s="307"/>
      <c r="CZ3" s="307"/>
      <c r="DA3" s="307"/>
      <c r="DB3" s="280"/>
      <c r="DC3" s="280"/>
      <c r="DD3" s="280"/>
      <c r="DE3" s="280"/>
      <c r="DF3" s="280"/>
      <c r="DG3" s="280"/>
      <c r="DH3" s="280"/>
      <c r="DI3" s="280"/>
      <c r="DJ3" s="280"/>
      <c r="DK3" s="280"/>
      <c r="DL3" s="280"/>
      <c r="DM3" s="280"/>
      <c r="DN3" s="280"/>
      <c r="DO3" s="280"/>
      <c r="DP3" s="280"/>
      <c r="DQ3" s="280"/>
      <c r="DR3" s="280"/>
      <c r="DS3" s="280"/>
      <c r="DT3" s="280"/>
      <c r="DU3" s="280"/>
      <c r="DV3" s="280"/>
      <c r="DW3" s="280"/>
      <c r="DX3" s="280"/>
      <c r="DY3" s="280"/>
      <c r="DZ3" s="280"/>
      <c r="EA3" s="280"/>
      <c r="EB3" s="280"/>
      <c r="EC3" s="280"/>
      <c r="ED3" s="280"/>
      <c r="EE3" s="280"/>
      <c r="EF3" s="280"/>
      <c r="EG3" s="280"/>
      <c r="EH3" s="280"/>
      <c r="EI3" s="280"/>
      <c r="EJ3" s="280"/>
      <c r="EK3" s="280"/>
      <c r="EL3" s="280"/>
      <c r="EM3" s="280"/>
      <c r="EN3" s="280"/>
      <c r="EO3" s="280"/>
      <c r="EP3" s="521"/>
      <c r="EQ3" s="521"/>
      <c r="ER3" s="521"/>
      <c r="ES3" s="521"/>
      <c r="ET3" s="521"/>
      <c r="EU3" s="521"/>
      <c r="EV3" s="521"/>
      <c r="EW3" s="521"/>
      <c r="EX3" s="521"/>
      <c r="EY3" s="521"/>
      <c r="EZ3" s="521"/>
      <c r="FA3" s="521"/>
      <c r="FB3" s="521"/>
      <c r="FC3" s="521"/>
      <c r="FD3" s="521"/>
      <c r="FE3" s="521"/>
      <c r="FF3" s="521"/>
      <c r="FG3" s="521"/>
    </row>
    <row r="4" spans="1:171" s="528" customFormat="1" ht="13.9" customHeight="1">
      <c r="A4" s="522"/>
      <c r="B4" s="522"/>
      <c r="C4" s="523"/>
      <c r="D4" s="524"/>
      <c r="E4" s="525"/>
      <c r="F4" s="526"/>
      <c r="G4" s="526"/>
      <c r="H4" s="526"/>
      <c r="I4" s="526"/>
      <c r="J4" s="526"/>
      <c r="K4" s="527"/>
      <c r="L4" s="524"/>
      <c r="M4" s="524"/>
      <c r="N4" s="524"/>
      <c r="O4" s="524"/>
      <c r="P4" s="523"/>
      <c r="Q4" s="523"/>
      <c r="R4" s="523"/>
      <c r="S4" s="523"/>
      <c r="T4" s="523"/>
      <c r="U4" s="523"/>
      <c r="V4" s="523"/>
      <c r="W4" s="523"/>
      <c r="AE4" s="307"/>
      <c r="AF4" s="307"/>
      <c r="AG4" s="307"/>
      <c r="AH4" s="307"/>
      <c r="AI4" s="307"/>
      <c r="AJ4" s="307"/>
      <c r="AK4" s="307"/>
      <c r="AL4" s="307"/>
      <c r="AM4" s="307"/>
      <c r="AN4" s="307"/>
      <c r="AO4" s="307"/>
      <c r="AP4" s="307"/>
      <c r="AQ4" s="307"/>
      <c r="AR4" s="307"/>
      <c r="AS4" s="307"/>
      <c r="AT4" s="307"/>
      <c r="AU4" s="307"/>
      <c r="AV4" s="307"/>
      <c r="AW4" s="307"/>
      <c r="AX4" s="307"/>
      <c r="AY4" s="307"/>
      <c r="AZ4" s="307"/>
      <c r="BA4" s="307"/>
      <c r="BB4" s="307"/>
      <c r="BC4" s="307"/>
      <c r="BD4" s="307"/>
      <c r="BE4" s="307"/>
      <c r="BF4" s="307"/>
      <c r="BG4" s="307"/>
      <c r="BH4" s="307"/>
      <c r="BI4" s="307"/>
      <c r="BJ4" s="307"/>
      <c r="BK4" s="307"/>
      <c r="BL4" s="307"/>
      <c r="BM4" s="307"/>
      <c r="BN4" s="307"/>
      <c r="BO4" s="307"/>
      <c r="BP4" s="307"/>
      <c r="BQ4" s="307"/>
      <c r="BR4" s="307"/>
      <c r="BS4" s="307"/>
      <c r="BT4" s="307"/>
      <c r="BU4" s="307"/>
      <c r="BV4" s="307"/>
      <c r="BW4" s="307"/>
      <c r="BX4" s="307"/>
      <c r="BY4" s="307"/>
      <c r="BZ4" s="307"/>
      <c r="CA4" s="307"/>
      <c r="CB4" s="307"/>
      <c r="CC4" s="307"/>
      <c r="CD4" s="307"/>
      <c r="CE4" s="307"/>
      <c r="CF4" s="307"/>
      <c r="CG4" s="307"/>
      <c r="CH4" s="307"/>
      <c r="CI4" s="307"/>
      <c r="CJ4" s="307"/>
      <c r="CK4" s="307"/>
      <c r="CL4" s="307"/>
      <c r="CM4" s="307"/>
      <c r="CN4" s="307"/>
      <c r="CO4" s="307"/>
      <c r="CP4" s="307"/>
      <c r="CQ4" s="307"/>
      <c r="CR4" s="307"/>
      <c r="CS4" s="307"/>
      <c r="CT4" s="307"/>
      <c r="CU4" s="307"/>
      <c r="CV4" s="307"/>
      <c r="CW4" s="307"/>
      <c r="CX4" s="307"/>
      <c r="CY4" s="307"/>
      <c r="CZ4" s="307"/>
      <c r="DA4" s="307"/>
      <c r="DB4" s="280"/>
      <c r="DC4" s="280"/>
      <c r="DD4" s="280"/>
      <c r="DE4" s="280"/>
      <c r="DF4" s="280"/>
      <c r="DG4" s="280"/>
      <c r="DH4" s="280"/>
      <c r="DI4" s="280"/>
      <c r="DJ4" s="280"/>
      <c r="DK4" s="280"/>
      <c r="DL4" s="280"/>
      <c r="DM4" s="280"/>
      <c r="DN4" s="280"/>
      <c r="DO4" s="280"/>
      <c r="DP4" s="280"/>
      <c r="DQ4" s="280"/>
      <c r="DR4" s="280"/>
      <c r="DS4" s="280"/>
      <c r="DT4" s="280"/>
      <c r="DU4" s="280"/>
      <c r="DV4" s="280"/>
      <c r="DW4" s="280"/>
      <c r="DX4" s="280"/>
      <c r="DY4" s="280"/>
      <c r="DZ4" s="280"/>
      <c r="EA4" s="280"/>
      <c r="EB4" s="280"/>
      <c r="EC4" s="280"/>
      <c r="ED4" s="280"/>
      <c r="EE4" s="280"/>
      <c r="EF4" s="280"/>
      <c r="EG4" s="280"/>
      <c r="EH4" s="280"/>
      <c r="EI4" s="280"/>
      <c r="EJ4" s="280"/>
      <c r="EK4" s="280"/>
      <c r="EL4" s="280"/>
      <c r="EM4" s="280"/>
      <c r="EN4" s="280"/>
      <c r="EO4" s="280"/>
      <c r="EP4" s="521"/>
      <c r="EQ4" s="521"/>
      <c r="ER4" s="521"/>
      <c r="ES4" s="521"/>
      <c r="ET4" s="521"/>
      <c r="EU4" s="521"/>
      <c r="EV4" s="521"/>
      <c r="EW4" s="521"/>
      <c r="EX4" s="521"/>
      <c r="EY4" s="521"/>
      <c r="EZ4" s="521"/>
      <c r="FA4" s="521"/>
      <c r="FB4" s="521"/>
      <c r="FC4" s="521"/>
      <c r="FD4" s="521"/>
      <c r="FE4" s="521"/>
      <c r="FF4" s="521"/>
      <c r="FG4" s="521"/>
    </row>
    <row r="5" spans="1:171" s="532" customFormat="1" ht="18">
      <c r="A5" s="674" t="str">
        <f>Ficha!A4:B4</f>
        <v>RED</v>
      </c>
      <c r="B5" s="674"/>
      <c r="C5" s="674"/>
      <c r="D5" s="675" t="str">
        <f>Ficha!C4</f>
        <v>RED MOYOBAMBA</v>
      </c>
      <c r="E5" s="675"/>
      <c r="F5" s="675"/>
      <c r="G5" s="531"/>
      <c r="H5" s="531"/>
      <c r="I5" s="531"/>
      <c r="J5" s="531"/>
      <c r="K5" s="527"/>
      <c r="L5" s="524"/>
      <c r="M5" s="524"/>
      <c r="N5" s="524"/>
      <c r="O5" s="524"/>
      <c r="P5" s="523"/>
      <c r="Q5" s="523"/>
      <c r="R5" s="523"/>
      <c r="S5" s="523"/>
      <c r="T5" s="523"/>
      <c r="U5" s="523"/>
      <c r="V5" s="523"/>
      <c r="W5" s="523"/>
      <c r="X5" s="528"/>
      <c r="Y5" s="528"/>
      <c r="Z5" s="528"/>
      <c r="AA5" s="528"/>
      <c r="AB5" s="528"/>
      <c r="AC5" s="528"/>
      <c r="AD5" s="528"/>
      <c r="AE5" s="307"/>
      <c r="AF5" s="307"/>
      <c r="AG5" s="307"/>
      <c r="AH5" s="307"/>
      <c r="AI5" s="307"/>
      <c r="AJ5" s="307"/>
      <c r="AK5" s="307"/>
      <c r="AL5" s="307"/>
      <c r="AM5" s="307"/>
      <c r="AN5" s="307"/>
      <c r="AO5" s="307"/>
      <c r="AP5" s="307"/>
      <c r="AQ5" s="307"/>
      <c r="AR5" s="307"/>
      <c r="AS5" s="307"/>
      <c r="AT5" s="307"/>
      <c r="AU5" s="307"/>
      <c r="AV5" s="307"/>
      <c r="AW5" s="307"/>
      <c r="AX5" s="307"/>
      <c r="AY5" s="307"/>
      <c r="AZ5" s="307"/>
      <c r="BA5" s="307"/>
      <c r="BB5" s="307"/>
      <c r="BC5" s="307"/>
      <c r="BD5" s="307"/>
      <c r="BE5" s="307"/>
      <c r="BF5" s="307"/>
      <c r="BG5" s="307"/>
      <c r="BH5" s="307"/>
      <c r="BI5" s="307"/>
      <c r="BJ5" s="307"/>
      <c r="BK5" s="307"/>
      <c r="BL5" s="307"/>
      <c r="BM5" s="307"/>
      <c r="BN5" s="307"/>
      <c r="BO5" s="307"/>
      <c r="BP5" s="307"/>
      <c r="BQ5" s="307"/>
      <c r="BR5" s="307"/>
      <c r="BS5" s="307"/>
      <c r="BT5" s="307"/>
      <c r="BU5" s="307"/>
      <c r="BV5" s="307"/>
      <c r="BW5" s="307"/>
      <c r="BX5" s="307"/>
      <c r="BY5" s="307"/>
      <c r="BZ5" s="307"/>
      <c r="CA5" s="307"/>
      <c r="CB5" s="307"/>
      <c r="CC5" s="307"/>
      <c r="CD5" s="307"/>
      <c r="CE5" s="307"/>
      <c r="CF5" s="307"/>
      <c r="CG5" s="307"/>
      <c r="CH5" s="307"/>
      <c r="CI5" s="307"/>
      <c r="CJ5" s="307"/>
      <c r="CK5" s="307"/>
      <c r="CL5" s="307"/>
      <c r="CM5" s="307"/>
      <c r="CN5" s="307"/>
      <c r="CO5" s="307"/>
      <c r="CP5" s="307"/>
      <c r="CQ5" s="307"/>
      <c r="CR5" s="307"/>
      <c r="CS5" s="307"/>
      <c r="CT5" s="307"/>
      <c r="CU5" s="307"/>
      <c r="CV5" s="307"/>
      <c r="CW5" s="307"/>
      <c r="CX5" s="307"/>
      <c r="CY5" s="307"/>
      <c r="CZ5" s="307"/>
      <c r="DA5" s="307"/>
      <c r="DB5" s="280"/>
      <c r="DC5" s="280"/>
      <c r="DD5" s="280"/>
      <c r="DE5" s="280"/>
      <c r="DF5" s="280"/>
      <c r="DG5" s="280"/>
      <c r="DH5" s="280"/>
      <c r="DI5" s="280"/>
      <c r="DJ5" s="280"/>
      <c r="DK5" s="280"/>
      <c r="DL5" s="280"/>
      <c r="DM5" s="280"/>
      <c r="DN5" s="280"/>
      <c r="DO5" s="280"/>
      <c r="DP5" s="280"/>
      <c r="DQ5" s="280"/>
      <c r="DR5" s="280"/>
      <c r="DS5" s="280"/>
      <c r="DT5" s="280"/>
      <c r="DU5" s="280"/>
      <c r="DV5" s="280"/>
      <c r="DW5" s="280"/>
      <c r="DX5" s="280"/>
      <c r="DY5" s="280"/>
      <c r="DZ5" s="280"/>
      <c r="EA5" s="280"/>
      <c r="EB5" s="280"/>
      <c r="EC5" s="280"/>
      <c r="ED5" s="280"/>
      <c r="EE5" s="280"/>
      <c r="EF5" s="280"/>
      <c r="EG5" s="280"/>
      <c r="EH5" s="280"/>
      <c r="EI5" s="280"/>
      <c r="EJ5" s="280"/>
      <c r="EK5" s="280"/>
      <c r="EL5" s="280"/>
      <c r="EM5" s="280"/>
      <c r="EN5" s="280"/>
      <c r="EO5" s="280"/>
      <c r="EP5" s="521"/>
      <c r="EQ5" s="521"/>
      <c r="ER5" s="521"/>
      <c r="ES5" s="521"/>
      <c r="ET5" s="521"/>
      <c r="EU5" s="521"/>
      <c r="EV5" s="521"/>
      <c r="EW5" s="521"/>
      <c r="EX5" s="521"/>
      <c r="EY5" s="521"/>
      <c r="EZ5" s="521"/>
      <c r="FA5" s="521"/>
      <c r="FB5" s="521"/>
      <c r="FC5" s="521"/>
      <c r="FD5" s="521"/>
      <c r="FE5" s="521"/>
      <c r="FF5" s="521"/>
      <c r="FG5" s="521"/>
    </row>
    <row r="6" spans="1:171" s="535" customFormat="1" ht="13.9" customHeight="1">
      <c r="A6" s="686" t="str">
        <f>+Indicadores!A2</f>
        <v>COMPONENTES</v>
      </c>
      <c r="B6" s="686"/>
      <c r="C6" s="686"/>
      <c r="D6" s="686" t="s">
        <v>2</v>
      </c>
      <c r="E6" s="686"/>
      <c r="F6" s="685" t="s">
        <v>0</v>
      </c>
      <c r="G6" s="676" t="s">
        <v>62</v>
      </c>
      <c r="H6" s="676"/>
      <c r="I6" s="676"/>
      <c r="J6" s="676"/>
      <c r="K6" s="685" t="s">
        <v>1</v>
      </c>
      <c r="L6" s="683" t="s">
        <v>62</v>
      </c>
      <c r="M6" s="683"/>
      <c r="N6" s="683"/>
      <c r="O6" s="683"/>
      <c r="P6" s="683" t="s">
        <v>73</v>
      </c>
      <c r="Q6" s="683"/>
      <c r="R6" s="683"/>
      <c r="S6" s="683"/>
      <c r="T6" s="684" t="s">
        <v>184</v>
      </c>
      <c r="U6" s="684" t="s">
        <v>136</v>
      </c>
      <c r="V6" s="683" t="s">
        <v>12</v>
      </c>
      <c r="W6" s="683"/>
      <c r="X6" s="683"/>
      <c r="Y6" s="683"/>
      <c r="Z6" s="683"/>
      <c r="AA6" s="683"/>
      <c r="AB6" s="528"/>
      <c r="AC6" s="528"/>
      <c r="AD6" s="528"/>
      <c r="AE6" s="307"/>
      <c r="AF6" s="307"/>
      <c r="AG6" s="307"/>
      <c r="AH6" s="307"/>
      <c r="AI6" s="307" t="s">
        <v>485</v>
      </c>
      <c r="AJ6" s="307"/>
      <c r="AK6" s="307" t="s">
        <v>278</v>
      </c>
      <c r="AL6" s="307"/>
      <c r="AM6" s="307"/>
      <c r="AN6" s="534" t="s">
        <v>273</v>
      </c>
      <c r="AO6" s="534" t="s">
        <v>493</v>
      </c>
      <c r="AP6" s="534" t="s">
        <v>272</v>
      </c>
      <c r="AQ6" s="534" t="s">
        <v>264</v>
      </c>
      <c r="AR6" s="534" t="s">
        <v>494</v>
      </c>
      <c r="AS6" s="534" t="s">
        <v>267</v>
      </c>
      <c r="AT6" s="534" t="s">
        <v>266</v>
      </c>
      <c r="AU6" s="534" t="s">
        <v>268</v>
      </c>
      <c r="AV6" s="534" t="s">
        <v>495</v>
      </c>
      <c r="AW6" s="534" t="s">
        <v>274</v>
      </c>
      <c r="AX6" s="534" t="s">
        <v>138</v>
      </c>
      <c r="AY6" s="307"/>
      <c r="AZ6" s="307"/>
      <c r="BA6" s="307"/>
      <c r="BB6" s="307"/>
      <c r="BC6" s="307"/>
      <c r="BD6" s="307"/>
      <c r="BE6" s="307"/>
      <c r="BF6" s="307"/>
      <c r="BG6" s="307"/>
      <c r="BH6" s="307"/>
      <c r="BI6" s="307"/>
      <c r="BJ6" s="307"/>
      <c r="BK6" s="307"/>
      <c r="BL6" s="307"/>
      <c r="BM6" s="307"/>
      <c r="BN6" s="307"/>
      <c r="BO6" s="307"/>
      <c r="BP6" s="307"/>
      <c r="BQ6" s="307"/>
      <c r="BR6" s="307"/>
      <c r="BS6" s="307"/>
      <c r="BT6" s="307"/>
      <c r="BU6" s="307"/>
      <c r="BV6" s="307"/>
      <c r="BW6" s="307"/>
      <c r="BX6" s="307"/>
      <c r="BY6" s="307"/>
      <c r="BZ6" s="307"/>
      <c r="CA6" s="307"/>
      <c r="CB6" s="307"/>
      <c r="CC6" s="307"/>
      <c r="CD6" s="307"/>
      <c r="CE6" s="307"/>
      <c r="CF6" s="307"/>
      <c r="CG6" s="307"/>
      <c r="CH6" s="307"/>
      <c r="CI6" s="307"/>
      <c r="CJ6" s="307"/>
      <c r="CK6" s="307"/>
      <c r="CL6" s="307"/>
      <c r="CM6" s="307"/>
      <c r="CN6" s="307"/>
      <c r="CO6" s="307"/>
      <c r="CP6" s="307"/>
      <c r="CQ6" s="307"/>
      <c r="CR6" s="307"/>
      <c r="CS6" s="307"/>
      <c r="CT6" s="307"/>
      <c r="CU6" s="307"/>
      <c r="CV6" s="307"/>
      <c r="CW6" s="307"/>
      <c r="CX6" s="307"/>
      <c r="CY6" s="307"/>
      <c r="CZ6" s="307"/>
      <c r="DA6" s="307"/>
      <c r="DB6" s="280"/>
      <c r="DC6" s="280"/>
      <c r="DD6" s="280"/>
      <c r="DE6" s="280"/>
      <c r="DF6" s="280"/>
      <c r="DG6" s="280"/>
      <c r="DH6" s="280"/>
      <c r="DI6" s="280"/>
      <c r="DJ6" s="280"/>
      <c r="DK6" s="280"/>
      <c r="DL6" s="280"/>
      <c r="DM6" s="280"/>
      <c r="DN6" s="280"/>
      <c r="DO6" s="280"/>
      <c r="DP6" s="280"/>
      <c r="DQ6" s="280"/>
      <c r="DR6" s="280"/>
      <c r="DS6" s="280"/>
      <c r="DT6" s="280"/>
      <c r="DU6" s="280"/>
      <c r="DV6" s="280"/>
      <c r="DW6" s="280"/>
      <c r="DX6" s="280"/>
      <c r="DY6" s="280"/>
      <c r="DZ6" s="280"/>
      <c r="EA6" s="280"/>
      <c r="EB6" s="280"/>
      <c r="EC6" s="280"/>
      <c r="ED6" s="280"/>
      <c r="EE6" s="280"/>
      <c r="EF6" s="280"/>
      <c r="EG6" s="280"/>
      <c r="EH6" s="280"/>
      <c r="EI6" s="280"/>
      <c r="EJ6" s="280"/>
      <c r="EK6" s="280"/>
      <c r="EL6" s="280"/>
      <c r="EM6" s="280"/>
      <c r="EN6" s="280"/>
      <c r="EO6" s="280"/>
      <c r="EP6" s="521"/>
      <c r="EQ6" s="521"/>
      <c r="ER6" s="521"/>
      <c r="ES6" s="521"/>
      <c r="ET6" s="521"/>
      <c r="EU6" s="521"/>
      <c r="EV6" s="521"/>
      <c r="EW6" s="521"/>
      <c r="EX6" s="521"/>
      <c r="EY6" s="521"/>
      <c r="EZ6" s="521"/>
      <c r="FA6" s="521"/>
      <c r="FB6" s="521"/>
      <c r="FC6" s="521"/>
      <c r="FD6" s="521"/>
      <c r="FE6" s="521"/>
      <c r="FF6" s="521"/>
      <c r="FG6" s="521"/>
      <c r="FH6" s="532"/>
      <c r="FI6" s="532"/>
      <c r="FJ6" s="532"/>
      <c r="FK6" s="532"/>
      <c r="FL6" s="532"/>
      <c r="FM6" s="532"/>
      <c r="FN6" s="532"/>
      <c r="FO6" s="532"/>
    </row>
    <row r="7" spans="1:171" ht="13.9" customHeight="1">
      <c r="A7" s="686"/>
      <c r="B7" s="686"/>
      <c r="C7" s="686"/>
      <c r="D7" s="686"/>
      <c r="E7" s="686"/>
      <c r="F7" s="685"/>
      <c r="G7" s="536" t="s">
        <v>63</v>
      </c>
      <c r="H7" s="536" t="s">
        <v>64</v>
      </c>
      <c r="I7" s="536" t="s">
        <v>65</v>
      </c>
      <c r="J7" s="536" t="s">
        <v>66</v>
      </c>
      <c r="K7" s="685"/>
      <c r="L7" s="537" t="s">
        <v>63</v>
      </c>
      <c r="M7" s="537" t="s">
        <v>64</v>
      </c>
      <c r="N7" s="537" t="s">
        <v>65</v>
      </c>
      <c r="O7" s="537" t="s">
        <v>66</v>
      </c>
      <c r="P7" s="538" t="s">
        <v>63</v>
      </c>
      <c r="Q7" s="538" t="s">
        <v>64</v>
      </c>
      <c r="R7" s="538" t="s">
        <v>65</v>
      </c>
      <c r="S7" s="538" t="s">
        <v>66</v>
      </c>
      <c r="T7" s="684"/>
      <c r="U7" s="684"/>
      <c r="V7" s="533" t="s">
        <v>91</v>
      </c>
      <c r="W7" s="533" t="s">
        <v>109</v>
      </c>
      <c r="X7" s="533" t="s">
        <v>110</v>
      </c>
      <c r="Y7" s="533" t="s">
        <v>111</v>
      </c>
      <c r="Z7" s="533" t="s">
        <v>137</v>
      </c>
      <c r="AA7" s="539" t="s">
        <v>112</v>
      </c>
      <c r="AB7" s="528"/>
      <c r="AC7" s="528"/>
      <c r="AD7" s="528"/>
      <c r="AI7" s="307" t="e" cm="1">
        <f t="array" aca="1" ref="AI7:AI17" ca="1">+_xlfn.UNIQUE(REDES)</f>
        <v>#NAME?</v>
      </c>
      <c r="AK7" s="307" t="e" cm="1">
        <f t="array" aca="1" ref="AK7:AK10" ca="1">+_xlfn._xlws.FILTER(MICRORED,REDES=$E$3)</f>
        <v>#NAME?</v>
      </c>
      <c r="AN7" s="307" t="s">
        <v>425</v>
      </c>
      <c r="AO7" s="307" t="s">
        <v>427</v>
      </c>
      <c r="AP7" s="307" t="s">
        <v>429</v>
      </c>
      <c r="AQ7" s="307" t="s">
        <v>431</v>
      </c>
      <c r="AR7" s="307" t="s">
        <v>437</v>
      </c>
      <c r="AS7" s="307" t="s">
        <v>444</v>
      </c>
      <c r="AT7" s="307" t="s">
        <v>448</v>
      </c>
      <c r="AU7" s="307" t="s">
        <v>450</v>
      </c>
      <c r="AV7" s="307" t="s">
        <v>455</v>
      </c>
      <c r="AW7" s="307" t="s">
        <v>463</v>
      </c>
      <c r="AX7" s="307" t="s">
        <v>138</v>
      </c>
    </row>
    <row r="8" spans="1:171" ht="35.25" customHeight="1">
      <c r="A8" s="677" t="s">
        <v>145</v>
      </c>
      <c r="B8" s="678" t="s">
        <v>339</v>
      </c>
      <c r="C8" s="679" t="s">
        <v>370</v>
      </c>
      <c r="D8" s="541">
        <f>+Indicadores!D4</f>
        <v>1</v>
      </c>
      <c r="E8" s="542" t="str">
        <f>+Indicadores!E4</f>
        <v>RAZON DE MUERTE MATERNA</v>
      </c>
      <c r="F8" s="543" t="str">
        <f>+Indicadores!F4</f>
        <v>N° de Muertes Maternas</v>
      </c>
      <c r="G8" s="201">
        <f>+VLOOKUP($G$3,Data_Numerador!$C$5:$BK$8,2,FALSE)</f>
        <v>0</v>
      </c>
      <c r="H8" s="201">
        <f>+VLOOKUP($G$3,Data_Numerador!$C$5:$BK$8,32,FALSE)</f>
        <v>0</v>
      </c>
      <c r="I8" s="201"/>
      <c r="J8" s="201"/>
      <c r="K8" s="543" t="str">
        <f>+Indicadores!G4</f>
        <v xml:space="preserve">N° nacidos Vivos x  100,000 </v>
      </c>
      <c r="L8" s="201">
        <f>+VLOOKUP($G$3,Data_Denominador!$B$3:$AP$6,38,FALSE)</f>
        <v>0</v>
      </c>
      <c r="M8" s="201">
        <f>+VLOOKUP($G$3,Data_Denominador!$B$3:$AP$6,39,FALSE)</f>
        <v>0</v>
      </c>
      <c r="N8" s="201"/>
      <c r="O8" s="201"/>
      <c r="P8" s="374">
        <f>+IFERROR(G8/L8,0)</f>
        <v>0</v>
      </c>
      <c r="Q8" s="374">
        <f t="shared" ref="Q8:R8" si="0">+IFERROR(H8/M8,0)</f>
        <v>0</v>
      </c>
      <c r="R8" s="374">
        <f t="shared" si="0"/>
        <v>0</v>
      </c>
      <c r="S8" s="374">
        <f>+IFERROR(J8/O8,0)</f>
        <v>0</v>
      </c>
      <c r="T8" s="375">
        <f>IFERROR(+SUM(G8:H8)/SUM(L8:M8),0)</f>
        <v>0</v>
      </c>
      <c r="U8" s="375">
        <f>IFERROR(+SUM(G8:J8)/SUM(L8:O8),0)</f>
        <v>0</v>
      </c>
      <c r="V8" s="376" t="str">
        <f>IF(P8&lt;=Indicadores!$J4,"Adecuado",IF(P8&gt;Indicadores!$M4,"Deficiente","Regular"))</f>
        <v>Adecuado</v>
      </c>
      <c r="W8" s="376" t="str">
        <f>IF(Q8&lt;=Indicadores!K4,"Adecuado",IF(Q8&gt;Indicadores!N4,"Deficiente","Regular"))</f>
        <v>Adecuado</v>
      </c>
      <c r="X8" s="376"/>
      <c r="Y8" s="376"/>
      <c r="Z8" s="376" t="str">
        <f>IF((T8&lt;=Indicadores!$J4),"Adecuado",IF((T8&gt;Indicadores!$M4),"Deficiente","Regular"))</f>
        <v>Adecuado</v>
      </c>
      <c r="AA8" s="377" t="str">
        <f>IF((U8&lt;=Indicadores!$J4),"Adecuado",IF((U8&gt;Indicadores!$M4),"Deficiente","Regular"))</f>
        <v>Adecuado</v>
      </c>
      <c r="AB8" s="544"/>
      <c r="AC8" s="528"/>
      <c r="AD8" s="528"/>
      <c r="AI8" s="307" t="e">
        <f ca="1"/>
        <v>#NAME?</v>
      </c>
      <c r="AK8" s="307" t="e">
        <f ca="1"/>
        <v>#NAME?</v>
      </c>
      <c r="AN8" s="307" t="s">
        <v>426</v>
      </c>
      <c r="AO8" s="307" t="s">
        <v>428</v>
      </c>
      <c r="AP8" s="307" t="s">
        <v>430</v>
      </c>
      <c r="AQ8" s="307" t="s">
        <v>432</v>
      </c>
      <c r="AR8" s="307" t="s">
        <v>438</v>
      </c>
      <c r="AS8" s="307" t="s">
        <v>443</v>
      </c>
      <c r="AT8" s="307" t="s">
        <v>266</v>
      </c>
      <c r="AU8" s="307" t="s">
        <v>502</v>
      </c>
      <c r="AV8" s="307" t="s">
        <v>456</v>
      </c>
      <c r="AW8" s="307" t="s">
        <v>464</v>
      </c>
    </row>
    <row r="9" spans="1:171" ht="35.25" customHeight="1">
      <c r="A9" s="677"/>
      <c r="B9" s="678"/>
      <c r="C9" s="679"/>
      <c r="D9" s="541">
        <f>+Indicadores!D5</f>
        <v>2</v>
      </c>
      <c r="E9" s="542" t="str">
        <f>+Indicadores!E5</f>
        <v>TASA DE MUERTE NEONATAL</v>
      </c>
      <c r="F9" s="543" t="str">
        <f>+Indicadores!F5</f>
        <v>N° de Muertes Neonatales</v>
      </c>
      <c r="G9" s="201">
        <f>+VLOOKUP($G$3,Data_Numerador!$C$5:$BK$8,3,FALSE)</f>
        <v>0</v>
      </c>
      <c r="H9" s="201">
        <f>+VLOOKUP($G$3,Data_Numerador!$C$5:$BK$8,33,FALSE)</f>
        <v>0</v>
      </c>
      <c r="I9" s="201"/>
      <c r="J9" s="201"/>
      <c r="K9" s="543" t="str">
        <f>+Indicadores!G5</f>
        <v xml:space="preserve">N° nacidos Vivos x 1,000 </v>
      </c>
      <c r="L9" s="201">
        <f>+VLOOKUP($G$3,Data_Denominador!$B$3:$AP$6,38,FALSE)</f>
        <v>0</v>
      </c>
      <c r="M9" s="201">
        <f>+VLOOKUP($G$3,Data_Denominador!$B$3:$AP$6,39,FALSE)</f>
        <v>0</v>
      </c>
      <c r="N9" s="201"/>
      <c r="O9" s="201"/>
      <c r="P9" s="374">
        <f t="shared" ref="P9:P37" si="1">+IFERROR(G9/L9,0)</f>
        <v>0</v>
      </c>
      <c r="Q9" s="374">
        <f t="shared" ref="Q9:Q37" si="2">+IFERROR(H9/M9,0)</f>
        <v>0</v>
      </c>
      <c r="R9" s="374">
        <f t="shared" ref="R9:R37" si="3">+IFERROR(I9/N9,0)</f>
        <v>0</v>
      </c>
      <c r="S9" s="374">
        <f t="shared" ref="S9:S37" si="4">+IFERROR(J9/O9,0)</f>
        <v>0</v>
      </c>
      <c r="T9" s="375">
        <f t="shared" ref="T9:T37" si="5">IFERROR(+SUM(G9:H9)/SUM(L9:M9),0)</f>
        <v>0</v>
      </c>
      <c r="U9" s="375">
        <f t="shared" ref="U9:U37" si="6">IFERROR(+SUM(G9:J9)/SUM(L9:O9),0)</f>
        <v>0</v>
      </c>
      <c r="V9" s="376" t="str">
        <f>IF(P9&lt;=Indicadores!$J5,"Adecuado",IF(P9&gt;Indicadores!$M5,"Deficiente","Regular"))</f>
        <v>Adecuado</v>
      </c>
      <c r="W9" s="376" t="str">
        <f>IF((Q9&lt;=Indicadores!$J5),"Adecuado",IF((Q9&gt;Indicadores!$M5),"Deficiente","Regular"))</f>
        <v>Adecuado</v>
      </c>
      <c r="X9" s="376"/>
      <c r="Y9" s="376"/>
      <c r="Z9" s="376" t="str">
        <f>IF((T9&lt;=Indicadores!$J5),"Adecuado",IF((T9&gt;Indicadores!$M5),"Deficiente","Regular"))</f>
        <v>Adecuado</v>
      </c>
      <c r="AA9" s="377" t="str">
        <f>IF((U9&lt;=Indicadores!$J5),"Adecuado",IF((U9&gt;Indicadores!$M5),"Deficiente","Regular"))</f>
        <v>Adecuado</v>
      </c>
      <c r="AB9" s="544"/>
      <c r="AC9" s="528"/>
      <c r="AD9" s="528"/>
      <c r="AI9" s="307" t="e">
        <f ca="1"/>
        <v>#NAME?</v>
      </c>
      <c r="AK9" s="307" t="e">
        <f ca="1"/>
        <v>#NAME?</v>
      </c>
      <c r="AN9" s="307" t="s">
        <v>273</v>
      </c>
      <c r="AO9" s="307" t="s">
        <v>500</v>
      </c>
      <c r="AP9" s="307" t="s">
        <v>554</v>
      </c>
      <c r="AQ9" s="307" t="s">
        <v>433</v>
      </c>
      <c r="AR9" s="307" t="s">
        <v>439</v>
      </c>
      <c r="AS9" s="307" t="s">
        <v>447</v>
      </c>
      <c r="AT9" s="307" t="s">
        <v>449</v>
      </c>
      <c r="AU9" s="307" t="s">
        <v>503</v>
      </c>
      <c r="AV9" s="307" t="s">
        <v>457</v>
      </c>
      <c r="AW9" s="307" t="s">
        <v>274</v>
      </c>
    </row>
    <row r="10" spans="1:171" ht="35.25" customHeight="1">
      <c r="A10" s="677"/>
      <c r="B10" s="678"/>
      <c r="C10" s="679"/>
      <c r="D10" s="541">
        <f>+Indicadores!D6</f>
        <v>3</v>
      </c>
      <c r="E10" s="542" t="str">
        <f>+Indicadores!E6</f>
        <v>TASA DE LETALIDAD POR DENGUE</v>
      </c>
      <c r="F10" s="543" t="str">
        <f>+Indicadores!F6</f>
        <v>N° de Muertes por Dengue</v>
      </c>
      <c r="G10" s="201">
        <f>+VLOOKUP($G$3,Data_Numerador!$C$5:$BK$8,4,FALSE)</f>
        <v>0</v>
      </c>
      <c r="H10" s="201">
        <f>+VLOOKUP($G$3,Data_Numerador!$C$5:$BK$8,34,FALSE)</f>
        <v>0</v>
      </c>
      <c r="I10" s="201"/>
      <c r="J10" s="201"/>
      <c r="K10" s="543" t="str">
        <f>+Indicadores!G6</f>
        <v>Nº de casos de Dengue grave x 100</v>
      </c>
      <c r="L10" s="201">
        <f>+VLOOKUP($G$3,Data_Denominador!$B$3:$AU$6,43,FALSE)</f>
        <v>0</v>
      </c>
      <c r="M10" s="201">
        <f>+VLOOKUP($G$3,Data_Denominador!$B$3:$AU$6,44,FALSE)</f>
        <v>0</v>
      </c>
      <c r="N10" s="201"/>
      <c r="O10" s="201"/>
      <c r="P10" s="374">
        <f t="shared" si="1"/>
        <v>0</v>
      </c>
      <c r="Q10" s="374">
        <f t="shared" si="2"/>
        <v>0</v>
      </c>
      <c r="R10" s="374">
        <f t="shared" si="3"/>
        <v>0</v>
      </c>
      <c r="S10" s="374">
        <f t="shared" si="4"/>
        <v>0</v>
      </c>
      <c r="T10" s="375">
        <f t="shared" si="5"/>
        <v>0</v>
      </c>
      <c r="U10" s="375">
        <f t="shared" si="6"/>
        <v>0</v>
      </c>
      <c r="V10" s="376" t="str">
        <f>IF(P10&lt;=Indicadores!$J6,"Adecuado",IF(P10&gt;Indicadores!$M6,"Deficiente","Regular"))</f>
        <v>Adecuado</v>
      </c>
      <c r="W10" s="376" t="str">
        <f>IF((Q10&lt;=Indicadores!$J6),"Adecuado",IF((Q10&gt;Indicadores!$M6),"Deficiente","Regular"))</f>
        <v>Adecuado</v>
      </c>
      <c r="X10" s="376"/>
      <c r="Y10" s="376"/>
      <c r="Z10" s="376" t="str">
        <f>IF((T10&lt;=Indicadores!$J6),"Adecuado",IF((T10&gt;Indicadores!$M6),"Deficiente","Regular"))</f>
        <v>Adecuado</v>
      </c>
      <c r="AA10" s="377" t="str">
        <f>IF((U10&lt;=Indicadores!$J6),"Adecuado",IF((U10&gt;Indicadores!$M6),"Deficiente","Regular"))</f>
        <v>Adecuado</v>
      </c>
      <c r="AB10" s="544"/>
      <c r="AC10" s="528"/>
      <c r="AD10" s="528"/>
      <c r="AI10" s="307" t="e">
        <f ca="1"/>
        <v>#NAME?</v>
      </c>
      <c r="AK10" s="307" t="e">
        <f ca="1"/>
        <v>#NAME?</v>
      </c>
      <c r="AN10" s="307" t="s">
        <v>499</v>
      </c>
      <c r="AO10" s="307" t="s">
        <v>547</v>
      </c>
      <c r="AQ10" s="307" t="s">
        <v>434</v>
      </c>
      <c r="AR10" s="307" t="s">
        <v>440</v>
      </c>
      <c r="AS10" s="307" t="s">
        <v>446</v>
      </c>
      <c r="AT10" s="307" t="s">
        <v>550</v>
      </c>
      <c r="AU10" s="307" t="s">
        <v>504</v>
      </c>
      <c r="AV10" s="307" t="s">
        <v>458</v>
      </c>
      <c r="AW10" s="307" t="s">
        <v>465</v>
      </c>
    </row>
    <row r="11" spans="1:171" ht="33">
      <c r="A11" s="689" t="s">
        <v>96</v>
      </c>
      <c r="B11" s="687" t="s">
        <v>326</v>
      </c>
      <c r="C11" s="691" t="s">
        <v>325</v>
      </c>
      <c r="D11" s="541">
        <f>+Indicadores!D7</f>
        <v>4</v>
      </c>
      <c r="E11" s="542" t="str">
        <f>+Indicadores!E7</f>
        <v>GESTANTE ATENDIDA PRECOZMENTE</v>
      </c>
      <c r="F11" s="543" t="str">
        <f>+Indicadores!F7</f>
        <v xml:space="preserve">N° de Gestantes con 1° Atención Prenatal en el I Trimestre </v>
      </c>
      <c r="G11" s="201">
        <f>+VLOOKUP($G$3,Data_Numerador!$C$5:$BK$8,5,FALSE)</f>
        <v>345</v>
      </c>
      <c r="H11" s="201">
        <f>+VLOOKUP($G$3,Data_Numerador!$C$5:$BK$8,35,FALSE)</f>
        <v>327</v>
      </c>
      <c r="I11" s="201"/>
      <c r="J11" s="201"/>
      <c r="K11" s="543" t="str">
        <f>+Indicadores!G7</f>
        <v>Poblacion de Niños menores de 1 año del Padron Nominal</v>
      </c>
      <c r="L11" s="201">
        <f>+VLOOKUP($G$3,Data_Denominador!$B$3:$AK$6,3,FALSE)</f>
        <v>552</v>
      </c>
      <c r="M11" s="201">
        <f>+VLOOKUP($G$3,Data_Denominador!$B$3:$AK$6,4,FALSE)</f>
        <v>552</v>
      </c>
      <c r="N11" s="201"/>
      <c r="O11" s="201"/>
      <c r="P11" s="374">
        <f>+IFERROR(G11/L11,0)</f>
        <v>0.625</v>
      </c>
      <c r="Q11" s="374">
        <f t="shared" si="2"/>
        <v>0.59239130434782605</v>
      </c>
      <c r="R11" s="374">
        <f t="shared" si="3"/>
        <v>0</v>
      </c>
      <c r="S11" s="374">
        <f t="shared" si="4"/>
        <v>0</v>
      </c>
      <c r="T11" s="375">
        <f t="shared" si="5"/>
        <v>0.60869565217391308</v>
      </c>
      <c r="U11" s="375">
        <f t="shared" si="6"/>
        <v>0.60869565217391308</v>
      </c>
      <c r="V11" s="376" t="str">
        <f>IF(P11&gt;=Indicadores!$J7,"Adecuado",IF(P11&lt;Indicadores!$M7,"Deficiente","Regular"))</f>
        <v>Regular</v>
      </c>
      <c r="W11" s="376" t="str">
        <f>IF(Q11&gt;=Indicadores!$J7,"Adecuado",IF(Q11&lt;Indicadores!$M7,"Deficiente","Regular"))</f>
        <v>Regular</v>
      </c>
      <c r="X11" s="376"/>
      <c r="Y11" s="376"/>
      <c r="Z11" s="376" t="str">
        <f>IF(T11&gt;=Indicadores!$J7,"Adecuado",IF(T11&lt;Indicadores!$M7,"Deficiente","Regular"))</f>
        <v>Regular</v>
      </c>
      <c r="AA11" s="376" t="str">
        <f>IF(U11&gt;=Indicadores!$J7,"Adecuado",IF(U11&lt;Indicadores!$M7,"Deficiente","Regular"))</f>
        <v>Regular</v>
      </c>
      <c r="AB11" s="544"/>
      <c r="AC11" s="528"/>
      <c r="AD11" s="528"/>
      <c r="AI11" s="307" t="e">
        <f ca="1"/>
        <v>#NAME?</v>
      </c>
      <c r="AN11" s="307" t="s">
        <v>546</v>
      </c>
      <c r="AQ11" s="307" t="s">
        <v>435</v>
      </c>
      <c r="AR11" s="307" t="s">
        <v>549</v>
      </c>
      <c r="AS11" s="307" t="s">
        <v>501</v>
      </c>
      <c r="AU11" s="307" t="s">
        <v>451</v>
      </c>
      <c r="AV11" s="307" t="s">
        <v>459</v>
      </c>
      <c r="AW11" s="307" t="s">
        <v>553</v>
      </c>
    </row>
    <row r="12" spans="1:171" ht="135" customHeight="1">
      <c r="A12" s="690"/>
      <c r="B12" s="693"/>
      <c r="C12" s="694"/>
      <c r="D12" s="541">
        <f>+Indicadores!D8</f>
        <v>5</v>
      </c>
      <c r="E12" s="542" t="str">
        <f>+Indicadores!E8</f>
        <v>GESTANTE CON PAQUETE COMPLETO</v>
      </c>
      <c r="F12" s="543" t="str">
        <f>+Indicadores!F8</f>
        <v>N° de Gestantes con 1° Atención Prenatal en el I Trimestre antes de las 14 semanas de gestación, que tengan sus 4 examenes auxiliares, Hemoglobina, VIH, SIFILIS, Examen de Orina</v>
      </c>
      <c r="G12" s="201">
        <f>+VLOOKUP($G$3,Data_Numerador!$C$5:$BK$8,6,FALSE)</f>
        <v>231</v>
      </c>
      <c r="H12" s="201">
        <f>+VLOOKUP($G$3,Data_Numerador!$C$5:$BK$8,36,FALSE)</f>
        <v>238</v>
      </c>
      <c r="I12" s="201"/>
      <c r="J12" s="201"/>
      <c r="K12" s="543" t="str">
        <f>+Indicadores!G8</f>
        <v>N° de Partos Institucionales</v>
      </c>
      <c r="L12" s="201">
        <f>+VLOOKUP($G$3,Data_Denominador!$B$3:$AZ$6,48,FALSE)</f>
        <v>405</v>
      </c>
      <c r="M12" s="201">
        <f>+VLOOKUP($G$3,Data_Denominador!$B$3:$AZ$6,49,FALSE)</f>
        <v>408</v>
      </c>
      <c r="N12" s="201"/>
      <c r="O12" s="201"/>
      <c r="P12" s="374">
        <f t="shared" si="1"/>
        <v>0.57037037037037042</v>
      </c>
      <c r="Q12" s="374">
        <f t="shared" si="2"/>
        <v>0.58333333333333337</v>
      </c>
      <c r="R12" s="374">
        <f t="shared" si="3"/>
        <v>0</v>
      </c>
      <c r="S12" s="374">
        <f t="shared" si="4"/>
        <v>0</v>
      </c>
      <c r="T12" s="375">
        <f t="shared" si="5"/>
        <v>0.57687576875768753</v>
      </c>
      <c r="U12" s="375">
        <f t="shared" si="6"/>
        <v>0.57687576875768753</v>
      </c>
      <c r="V12" s="376" t="str">
        <f>IF(P12&gt;=Indicadores!$J8,"Adecuado",IF(P12&lt;Indicadores!$M8,"Deficiente","Regular"))</f>
        <v>Regular</v>
      </c>
      <c r="W12" s="376" t="str">
        <f>IF(Q12&gt;=Indicadores!$J8,"Adecuado",IF(Q12&lt;Indicadores!$M8,"Deficiente","Regular"))</f>
        <v>Regular</v>
      </c>
      <c r="X12" s="376"/>
      <c r="Y12" s="376"/>
      <c r="Z12" s="376" t="str">
        <f>IF(T12&gt;=Indicadores!$J8,"Adecuado",IF(T12&lt;Indicadores!$M8,"Deficiente","Regular"))</f>
        <v>Regular</v>
      </c>
      <c r="AA12" s="376" t="str">
        <f>IF(U12&gt;=Indicadores!$J8,"Adecuado",IF(U12&lt;Indicadores!$M8,"Deficiente","Regular"))</f>
        <v>Regular</v>
      </c>
      <c r="AB12" s="544"/>
      <c r="AC12" s="528"/>
      <c r="AD12" s="528"/>
      <c r="AI12" s="307" t="e">
        <f ca="1"/>
        <v>#NAME?</v>
      </c>
      <c r="AQ12" s="307" t="s">
        <v>436</v>
      </c>
      <c r="AS12" s="307" t="s">
        <v>441</v>
      </c>
      <c r="AU12" s="307" t="s">
        <v>452</v>
      </c>
      <c r="AV12" s="307" t="s">
        <v>460</v>
      </c>
    </row>
    <row r="13" spans="1:171" ht="33">
      <c r="A13" s="690"/>
      <c r="B13" s="693"/>
      <c r="C13" s="694"/>
      <c r="D13" s="541">
        <f>+Indicadores!D9</f>
        <v>6</v>
      </c>
      <c r="E13" s="542" t="str">
        <f>+Indicadores!E9</f>
        <v>PORCENTAJE DE MUJERES EN EDAD FERTIL PROTEGIDAS CON ALGUN  MAC</v>
      </c>
      <c r="F13" s="543" t="str">
        <f>+Indicadores!F9</f>
        <v>Nº de Parejas Protegidas con MAC</v>
      </c>
      <c r="G13" s="201">
        <f>+VLOOKUP($G$3,Data_Numerador!$C$5:$BK$8,7,FALSE)</f>
        <v>1436</v>
      </c>
      <c r="H13" s="201">
        <f>+VLOOKUP($G$3,Data_Numerador!$C$5:$BK$8,37,FALSE)</f>
        <v>1386</v>
      </c>
      <c r="I13" s="201"/>
      <c r="J13" s="201"/>
      <c r="K13" s="543" t="str">
        <f>+Indicadores!G9</f>
        <v>Poblacion MEF (40% MEF de 15 a 49 años programadas)</v>
      </c>
      <c r="L13" s="201">
        <f>+VLOOKUP($G$3,Data_Denominador!$B$3:$AK$6,23,FALSE)</f>
        <v>0</v>
      </c>
      <c r="M13" s="201">
        <f>+VLOOKUP($G$3,Data_Denominador!$B$3:$AK$6,24,FALSE)</f>
        <v>0</v>
      </c>
      <c r="N13" s="201"/>
      <c r="O13" s="201"/>
      <c r="P13" s="374">
        <f t="shared" si="1"/>
        <v>0</v>
      </c>
      <c r="Q13" s="374">
        <f t="shared" si="2"/>
        <v>0</v>
      </c>
      <c r="R13" s="374">
        <f t="shared" si="3"/>
        <v>0</v>
      </c>
      <c r="S13" s="374">
        <f t="shared" si="4"/>
        <v>0</v>
      </c>
      <c r="T13" s="375">
        <f t="shared" si="5"/>
        <v>0</v>
      </c>
      <c r="U13" s="375">
        <f t="shared" si="6"/>
        <v>0</v>
      </c>
      <c r="V13" s="376" t="str">
        <f>IF(P13&gt;=Indicadores!$J9,"Adecuado",IF(P13&lt;Indicadores!$M9,"Deficiente","Regular"))</f>
        <v>Deficiente</v>
      </c>
      <c r="W13" s="376" t="str">
        <f>IF(Q13&gt;=Indicadores!$J9,"Adecuado",IF(Q13&lt;Indicadores!$M9,"Deficiente","Regular"))</f>
        <v>Deficiente</v>
      </c>
      <c r="X13" s="376"/>
      <c r="Y13" s="376"/>
      <c r="Z13" s="376" t="str">
        <f>IF(T13&gt;=Indicadores!$J9,"Adecuado",IF(T13&lt;Indicadores!$M9,"Deficiente","Regular"))</f>
        <v>Deficiente</v>
      </c>
      <c r="AA13" s="376" t="str">
        <f>IF(U13&gt;=Indicadores!$J9,"Adecuado",IF(U13&lt;Indicadores!$M9,"Deficiente","Regular"))</f>
        <v>Deficiente</v>
      </c>
      <c r="AB13" s="544"/>
      <c r="AC13" s="528"/>
      <c r="AD13" s="528"/>
      <c r="AI13" s="307" t="e">
        <f ca="1"/>
        <v>#NAME?</v>
      </c>
      <c r="AQ13" s="307" t="s">
        <v>548</v>
      </c>
      <c r="AS13" s="307" t="s">
        <v>442</v>
      </c>
      <c r="AU13" s="307" t="s">
        <v>453</v>
      </c>
      <c r="AV13" s="307" t="s">
        <v>461</v>
      </c>
    </row>
    <row r="14" spans="1:171" ht="49.5">
      <c r="A14" s="690"/>
      <c r="B14" s="693"/>
      <c r="C14" s="694"/>
      <c r="D14" s="541">
        <f>+Indicadores!D10</f>
        <v>7</v>
      </c>
      <c r="E14" s="542" t="str">
        <f>+Indicadores!E10</f>
        <v>COBERTURA DE PARTO INSTITUCIONAL</v>
      </c>
      <c r="F14" s="543" t="str">
        <f>+Indicadores!F10</f>
        <v>N° de Partos Institucionales</v>
      </c>
      <c r="G14" s="201">
        <f>+VLOOKUP($G$3,Data_Denominador!$B$3:$AZ$6,48,FALSE)</f>
        <v>405</v>
      </c>
      <c r="H14" s="201">
        <f>+VLOOKUP($G$3,Data_Denominador!$B$3:$AZ$6,49,FALSE)</f>
        <v>408</v>
      </c>
      <c r="I14" s="201"/>
      <c r="J14" s="201"/>
      <c r="K14" s="543" t="str">
        <f>+Indicadores!G10</f>
        <v>85% de la Poblacion de Niños Menores de 1 año del Padron Nominal</v>
      </c>
      <c r="L14" s="201">
        <f>+VLOOKUP($G$3,Data_Denominador!$B$3:$AK$6,3,FALSE)</f>
        <v>552</v>
      </c>
      <c r="M14" s="201">
        <f>+VLOOKUP($G$3,Data_Denominador!$B$3:$AK$6,4,FALSE)</f>
        <v>552</v>
      </c>
      <c r="N14" s="201"/>
      <c r="O14" s="201"/>
      <c r="P14" s="374">
        <f t="shared" si="1"/>
        <v>0.73369565217391308</v>
      </c>
      <c r="Q14" s="374">
        <f t="shared" si="2"/>
        <v>0.73913043478260865</v>
      </c>
      <c r="R14" s="374">
        <f t="shared" si="3"/>
        <v>0</v>
      </c>
      <c r="S14" s="374">
        <f t="shared" si="4"/>
        <v>0</v>
      </c>
      <c r="T14" s="375">
        <f t="shared" si="5"/>
        <v>0.73641304347826086</v>
      </c>
      <c r="U14" s="375">
        <f t="shared" si="6"/>
        <v>0.73641304347826086</v>
      </c>
      <c r="V14" s="376" t="str">
        <f>IF(P14&gt;=Indicadores!$J10,"Adecuado",IF(P14&lt;Indicadores!$M10,"Deficiente","Regular"))</f>
        <v>Regular</v>
      </c>
      <c r="W14" s="376" t="str">
        <f>IF(Q14&gt;=Indicadores!$J10,"Adecuado",IF(Q14&lt;Indicadores!$M10,"Deficiente","Regular"))</f>
        <v>Regular</v>
      </c>
      <c r="X14" s="376"/>
      <c r="Y14" s="376"/>
      <c r="Z14" s="376" t="str">
        <f>IF(T14&gt;=Indicadores!$J10,"Adecuado",IF(T14&lt;Indicadores!$M10,"Deficiente","Regular"))</f>
        <v>Regular</v>
      </c>
      <c r="AA14" s="376" t="str">
        <f>IF(U14&gt;=Indicadores!$J10,"Adecuado",IF(U14&lt;Indicadores!$M10,"Deficiente","Regular"))</f>
        <v>Regular</v>
      </c>
      <c r="AB14" s="544"/>
      <c r="AC14" s="528"/>
      <c r="AD14" s="528"/>
      <c r="AI14" s="307" t="e">
        <f ca="1"/>
        <v>#NAME?</v>
      </c>
      <c r="AS14" s="307" t="s">
        <v>445</v>
      </c>
      <c r="AU14" s="307" t="s">
        <v>454</v>
      </c>
      <c r="AV14" s="307" t="s">
        <v>462</v>
      </c>
    </row>
    <row r="15" spans="1:171" ht="33">
      <c r="A15" s="690"/>
      <c r="B15" s="688"/>
      <c r="C15" s="692"/>
      <c r="D15" s="541">
        <f>+Indicadores!D11</f>
        <v>8</v>
      </c>
      <c r="E15" s="542" t="str">
        <f>+Indicadores!E11</f>
        <v>PORCENTAJE DE MUJERES DE 25 A 64 AÑOS QUE SE HAN REALIZADO TAMIZAJE DE PAP O IVVA</v>
      </c>
      <c r="F15" s="543" t="str">
        <f>+Indicadores!F11</f>
        <v>N° de Mujeres de 25 a 64 años con Tamizaje de Papanicolao o IVVA</v>
      </c>
      <c r="G15" s="201">
        <f>+VLOOKUP($G$3,Data_Numerador!$C$5:$BK$8,9,FALSE)</f>
        <v>0</v>
      </c>
      <c r="H15" s="201">
        <f>+VLOOKUP($G$3,Data_Numerador!$C$5:$BK$8,39,FALSE)</f>
        <v>0</v>
      </c>
      <c r="I15" s="201"/>
      <c r="J15" s="201"/>
      <c r="K15" s="543" t="str">
        <f>+Indicadores!G11</f>
        <v>Poblacion de Mujeres de 25 a 64 años Programadas</v>
      </c>
      <c r="L15" s="201">
        <f>+VLOOKUP($G$3,Data_Denominador!$B$3:$AK$6,33,FALSE)</f>
        <v>0</v>
      </c>
      <c r="M15" s="201">
        <f>+VLOOKUP($G$3,Data_Denominador!$B$3:$AK$6,34,FALSE)</f>
        <v>0</v>
      </c>
      <c r="N15" s="201"/>
      <c r="O15" s="201"/>
      <c r="P15" s="374">
        <f t="shared" si="1"/>
        <v>0</v>
      </c>
      <c r="Q15" s="374">
        <f t="shared" si="2"/>
        <v>0</v>
      </c>
      <c r="R15" s="374">
        <f t="shared" si="3"/>
        <v>0</v>
      </c>
      <c r="S15" s="374">
        <f t="shared" si="4"/>
        <v>0</v>
      </c>
      <c r="T15" s="375">
        <f t="shared" si="5"/>
        <v>0</v>
      </c>
      <c r="U15" s="375">
        <f t="shared" si="6"/>
        <v>0</v>
      </c>
      <c r="V15" s="376" t="str">
        <f>IF(P15&gt;=Indicadores!$J11,"Adecuado",IF(P15&lt;Indicadores!$M11,"Deficiente","Regular"))</f>
        <v>Deficiente</v>
      </c>
      <c r="W15" s="376" t="str">
        <f>IF(Q15&gt;=Indicadores!$J11,"Adecuado",IF(Q15&lt;Indicadores!$M11,"Deficiente","Regular"))</f>
        <v>Deficiente</v>
      </c>
      <c r="X15" s="376"/>
      <c r="Y15" s="376"/>
      <c r="Z15" s="376" t="str">
        <f>IF(T15&gt;=Indicadores!$J11,"Adecuado",IF(T15&lt;Indicadores!$M11,"Deficiente","Regular"))</f>
        <v>Deficiente</v>
      </c>
      <c r="AA15" s="376" t="str">
        <f>IF(U15&gt;=Indicadores!$J11,"Adecuado",IF(U15&lt;Indicadores!$M11,"Deficiente","Regular"))</f>
        <v>Deficiente</v>
      </c>
      <c r="AB15" s="544"/>
      <c r="AC15" s="528"/>
      <c r="AD15" s="528"/>
      <c r="AI15" s="307" t="e">
        <f ca="1"/>
        <v>#NAME?</v>
      </c>
      <c r="AS15" s="307" t="s">
        <v>267</v>
      </c>
      <c r="AU15" s="307" t="s">
        <v>551</v>
      </c>
      <c r="AV15" s="307" t="s">
        <v>552</v>
      </c>
    </row>
    <row r="16" spans="1:171" ht="33" customHeight="1">
      <c r="A16" s="690"/>
      <c r="B16" s="678" t="s">
        <v>15</v>
      </c>
      <c r="C16" s="679" t="s">
        <v>366</v>
      </c>
      <c r="D16" s="541">
        <f>+Indicadores!D12</f>
        <v>9</v>
      </c>
      <c r="E16" s="542" t="str">
        <f>+Indicadores!E12</f>
        <v>RECIEN NACIDO CON VACUNAS COMPLETAS</v>
      </c>
      <c r="F16" s="543" t="str">
        <f>+Indicadores!F12</f>
        <v>N° Recien Nacidos protegidos  con vacuna completa (BCG y HvB).</v>
      </c>
      <c r="G16" s="201">
        <f>+VLOOKUP($G$3,Data_Numerador!$C$5:$BK$8,10,FALSE)</f>
        <v>127</v>
      </c>
      <c r="H16" s="201">
        <f>+VLOOKUP($G$3,Data_Numerador!$C$5:$BK$8,40,FALSE)</f>
        <v>113</v>
      </c>
      <c r="I16" s="201"/>
      <c r="J16" s="201"/>
      <c r="K16" s="543" t="str">
        <f>+Indicadores!G12</f>
        <v>Poblacion de Niños menores de 1 año del Padron Nominal</v>
      </c>
      <c r="L16" s="201">
        <f>+VLOOKUP($G$3,Data_Denominador!$B$3:$AK$6,3,FALSE)</f>
        <v>552</v>
      </c>
      <c r="M16" s="201">
        <f>+VLOOKUP($G$3,Data_Denominador!$B$3:$AK$6,4,FALSE)</f>
        <v>552</v>
      </c>
      <c r="N16" s="201"/>
      <c r="O16" s="201"/>
      <c r="P16" s="374">
        <f t="shared" si="1"/>
        <v>0.23007246376811594</v>
      </c>
      <c r="Q16" s="374">
        <f t="shared" si="2"/>
        <v>0.20471014492753623</v>
      </c>
      <c r="R16" s="374">
        <f t="shared" si="3"/>
        <v>0</v>
      </c>
      <c r="S16" s="374">
        <f t="shared" si="4"/>
        <v>0</v>
      </c>
      <c r="T16" s="375">
        <f t="shared" si="5"/>
        <v>0.21739130434782608</v>
      </c>
      <c r="U16" s="375">
        <f t="shared" si="6"/>
        <v>0.21739130434782608</v>
      </c>
      <c r="V16" s="376" t="str">
        <f>IF(P16&gt;=Indicadores!$J12,"Adecuado",IF(P16&lt;Indicadores!$M12,"Deficiente","Regular"))</f>
        <v>Deficiente</v>
      </c>
      <c r="W16" s="376" t="str">
        <f>IF(Q16&gt;=Indicadores!$J12,"Adecuado",IF(Q16&lt;Indicadores!$M12,"Deficiente","Regular"))</f>
        <v>Deficiente</v>
      </c>
      <c r="X16" s="376"/>
      <c r="Y16" s="376"/>
      <c r="Z16" s="376" t="str">
        <f>IF(T16&gt;=Indicadores!$J12,"Adecuado",IF(T16&lt;Indicadores!$M12,"Deficiente","Regular"))</f>
        <v>Deficiente</v>
      </c>
      <c r="AA16" s="376" t="str">
        <f>IF(U16&gt;=Indicadores!$J12,"Adecuado",IF(U16&lt;Indicadores!$M12,"Deficiente","Regular"))</f>
        <v>Deficiente</v>
      </c>
      <c r="AB16" s="544"/>
      <c r="AC16" s="528"/>
      <c r="AD16" s="528"/>
      <c r="AI16" s="307" t="e">
        <f ca="1"/>
        <v>#NAME?</v>
      </c>
    </row>
    <row r="17" spans="1:35" ht="66">
      <c r="A17" s="690"/>
      <c r="B17" s="678"/>
      <c r="C17" s="679"/>
      <c r="D17" s="541">
        <f>+Indicadores!D13</f>
        <v>10</v>
      </c>
      <c r="E17" s="542" t="str">
        <f>+Indicadores!E13</f>
        <v>NIÑO MENOR DE 1 AÑO CON VACUNAS COMPLETAS</v>
      </c>
      <c r="F17" s="543" t="str">
        <f>+Indicadores!F13</f>
        <v>N° de niños menores de 1 año protegidos  con vacuna completa (colocar el N° menor de Neumococo2 o Rotavirus2y pentavaente3, apo3).</v>
      </c>
      <c r="G17" s="201">
        <f>+VLOOKUP($G$3,Data_Numerador!$C$5:$BK$8,11,FALSE)</f>
        <v>407</v>
      </c>
      <c r="H17" s="201">
        <f>+VLOOKUP($G$3,Data_Numerador!$C$5:$BK$8,41,FALSE)</f>
        <v>229</v>
      </c>
      <c r="I17" s="201"/>
      <c r="J17" s="201"/>
      <c r="K17" s="543" t="str">
        <f>+Indicadores!G13</f>
        <v>Poblacion de Niños menores de 1 año del Padron Nominal</v>
      </c>
      <c r="L17" s="201">
        <f>+VLOOKUP($G$3,Data_Denominador!$B$3:$AK$6,3,FALSE)</f>
        <v>552</v>
      </c>
      <c r="M17" s="201">
        <f>+VLOOKUP($G$3,Data_Denominador!$B$3:$AK$6,4,FALSE)</f>
        <v>552</v>
      </c>
      <c r="N17" s="201"/>
      <c r="O17" s="201"/>
      <c r="P17" s="374">
        <f t="shared" si="1"/>
        <v>0.7373188405797102</v>
      </c>
      <c r="Q17" s="374">
        <f t="shared" si="2"/>
        <v>0.41485507246376813</v>
      </c>
      <c r="R17" s="374">
        <f t="shared" si="3"/>
        <v>0</v>
      </c>
      <c r="S17" s="374">
        <f t="shared" si="4"/>
        <v>0</v>
      </c>
      <c r="T17" s="375">
        <f t="shared" si="5"/>
        <v>0.57608695652173914</v>
      </c>
      <c r="U17" s="375">
        <f t="shared" si="6"/>
        <v>0.57608695652173914</v>
      </c>
      <c r="V17" s="376" t="str">
        <f>IF(P17&gt;=Indicadores!$J13,"Adecuado",IF(P17&lt;Indicadores!$M13,"Deficiente","Regular"))</f>
        <v>Deficiente</v>
      </c>
      <c r="W17" s="376" t="str">
        <f>IF(Q17&gt;=Indicadores!$J13,"Adecuado",IF(Q17&lt;Indicadores!$M13,"Deficiente","Regular"))</f>
        <v>Deficiente</v>
      </c>
      <c r="X17" s="376"/>
      <c r="Y17" s="376"/>
      <c r="Z17" s="376" t="str">
        <f>IF(T17&gt;=Indicadores!$J13,"Adecuado",IF(T17&lt;Indicadores!$M13,"Deficiente","Regular"))</f>
        <v>Deficiente</v>
      </c>
      <c r="AA17" s="376" t="str">
        <f>IF(U17&gt;=Indicadores!$J13,"Adecuado",IF(U17&lt;Indicadores!$M13,"Deficiente","Regular"))</f>
        <v>Deficiente</v>
      </c>
      <c r="AB17" s="544"/>
      <c r="AC17" s="528"/>
      <c r="AD17" s="528"/>
      <c r="AI17" s="307" t="e">
        <f ca="1"/>
        <v>#NAME?</v>
      </c>
    </row>
    <row r="18" spans="1:35" ht="49.5">
      <c r="A18" s="690"/>
      <c r="B18" s="678"/>
      <c r="C18" s="679"/>
      <c r="D18" s="541">
        <f>+Indicadores!D14</f>
        <v>11</v>
      </c>
      <c r="E18" s="542" t="str">
        <f>+Indicadores!E14</f>
        <v>NIÑO DE 12 MESES CON VACUNA COMPLETAS</v>
      </c>
      <c r="F18" s="543" t="str">
        <f>+Indicadores!F14</f>
        <v>N° de niños protegidos con vacuna completa ( colocar el N° menor SPR2, Neumo3).</v>
      </c>
      <c r="G18" s="201">
        <f>+VLOOKUP($G$3,Data_Numerador!$C$5:$BK$8,12,FALSE)</f>
        <v>157</v>
      </c>
      <c r="H18" s="201">
        <f>+VLOOKUP($G$3,Data_Numerador!$C$5:$BK$8,42,FALSE)</f>
        <v>18</v>
      </c>
      <c r="I18" s="201"/>
      <c r="J18" s="201"/>
      <c r="K18" s="543" t="str">
        <f>+Indicadores!G14</f>
        <v>Poblacion de Niños de 1 año del Padron Nominal</v>
      </c>
      <c r="L18" s="201">
        <f>+VLOOKUP($G$3,Data_Denominador!$B$3:$AK$6,8,FALSE)</f>
        <v>610</v>
      </c>
      <c r="M18" s="201">
        <f>+VLOOKUP($G$3,Data_Denominador!$B$3:$AK$6,8,FALSE)</f>
        <v>610</v>
      </c>
      <c r="N18" s="201"/>
      <c r="O18" s="201"/>
      <c r="P18" s="374">
        <f t="shared" si="1"/>
        <v>0.25737704918032789</v>
      </c>
      <c r="Q18" s="374">
        <f t="shared" si="2"/>
        <v>2.9508196721311476E-2</v>
      </c>
      <c r="R18" s="374">
        <f t="shared" si="3"/>
        <v>0</v>
      </c>
      <c r="S18" s="374">
        <f t="shared" si="4"/>
        <v>0</v>
      </c>
      <c r="T18" s="375">
        <f t="shared" si="5"/>
        <v>0.14344262295081966</v>
      </c>
      <c r="U18" s="375">
        <f t="shared" si="6"/>
        <v>0.14344262295081966</v>
      </c>
      <c r="V18" s="376" t="str">
        <f>IF(P18&gt;=Indicadores!$J14,"Adecuado",IF(P18&lt;Indicadores!$M14,"Deficiente","Regular"))</f>
        <v>Deficiente</v>
      </c>
      <c r="W18" s="376" t="str">
        <f>IF(Q18&gt;=Indicadores!$J14,"Adecuado",IF(Q18&lt;Indicadores!$M14,"Deficiente","Regular"))</f>
        <v>Deficiente</v>
      </c>
      <c r="X18" s="376"/>
      <c r="Y18" s="376"/>
      <c r="Z18" s="376" t="str">
        <f>IF(T18&gt;=Indicadores!$J14,"Adecuado",IF(T18&lt;Indicadores!$M14,"Deficiente","Regular"))</f>
        <v>Deficiente</v>
      </c>
      <c r="AA18" s="376" t="str">
        <f>IF(U18&gt;=Indicadores!$J14,"Adecuado",IF(U18&lt;Indicadores!$M14,"Deficiente","Regular"))</f>
        <v>Deficiente</v>
      </c>
      <c r="AB18" s="544"/>
      <c r="AC18" s="528"/>
      <c r="AD18" s="528"/>
    </row>
    <row r="19" spans="1:35" ht="33">
      <c r="A19" s="690"/>
      <c r="B19" s="678"/>
      <c r="C19" s="679"/>
      <c r="D19" s="541">
        <f>+Indicadores!D15</f>
        <v>12</v>
      </c>
      <c r="E19" s="542" t="str">
        <f>+Indicadores!E15</f>
        <v>COBERTURA DE CRED EN MENORES DE 1 AÑOS.</v>
      </c>
      <c r="F19" s="543" t="str">
        <f>+Indicadores!F15</f>
        <v>Niños Controldados CRED Menores de 1 años (Por profesional y tecnico)</v>
      </c>
      <c r="G19" s="201">
        <f>+VLOOKUP($G$3,Data_Numerador!$C$5:$BK$8,13,FALSE)</f>
        <v>377</v>
      </c>
      <c r="H19" s="201">
        <f>+VLOOKUP($G$3,Data_Numerador!$C$5:$BK$8,43,FALSE)</f>
        <v>308</v>
      </c>
      <c r="I19" s="201"/>
      <c r="J19" s="201"/>
      <c r="K19" s="543" t="str">
        <f>+Indicadores!G15</f>
        <v>Poblacion de Niños menores de 1 año del Padron Nominal</v>
      </c>
      <c r="L19" s="201">
        <f>+VLOOKUP($G$3,Data_Denominador!$B$3:$AK$6,3,FALSE)</f>
        <v>552</v>
      </c>
      <c r="M19" s="201">
        <f>+VLOOKUP($G$3,Data_Denominador!$B$3:$AK$6,4,FALSE)</f>
        <v>552</v>
      </c>
      <c r="N19" s="201"/>
      <c r="O19" s="201"/>
      <c r="P19" s="374">
        <f t="shared" si="1"/>
        <v>0.68297101449275366</v>
      </c>
      <c r="Q19" s="374">
        <f t="shared" si="2"/>
        <v>0.55797101449275366</v>
      </c>
      <c r="R19" s="374">
        <f t="shared" si="3"/>
        <v>0</v>
      </c>
      <c r="S19" s="374">
        <f t="shared" si="4"/>
        <v>0</v>
      </c>
      <c r="T19" s="375">
        <f t="shared" si="5"/>
        <v>0.62047101449275366</v>
      </c>
      <c r="U19" s="375">
        <f t="shared" si="6"/>
        <v>0.62047101449275366</v>
      </c>
      <c r="V19" s="376" t="str">
        <f>IF(P19&gt;=Indicadores!$J15,"Adecuado",IF(P19&lt;Indicadores!$M15,"Deficiente","Regular"))</f>
        <v>Regular</v>
      </c>
      <c r="W19" s="376" t="str">
        <f>IF(Q19&gt;=Indicadores!$J15,"Adecuado",IF(Q19&lt;Indicadores!$M15,"Deficiente","Regular"))</f>
        <v>Regular</v>
      </c>
      <c r="X19" s="376"/>
      <c r="Y19" s="376"/>
      <c r="Z19" s="376" t="str">
        <f>IF(T19&gt;=Indicadores!$J15,"Adecuado",IF(T19&lt;Indicadores!$M15,"Deficiente","Regular"))</f>
        <v>Regular</v>
      </c>
      <c r="AA19" s="376" t="str">
        <f>IF(U19&gt;=Indicadores!$J15,"Adecuado",IF(U19&lt;Indicadores!$M15,"Deficiente","Regular"))</f>
        <v>Regular</v>
      </c>
      <c r="AB19" s="528"/>
      <c r="AC19" s="528"/>
      <c r="AD19" s="528"/>
    </row>
    <row r="20" spans="1:35" ht="38.25">
      <c r="A20" s="690"/>
      <c r="B20" s="678"/>
      <c r="C20" s="679"/>
      <c r="D20" s="541">
        <f>+Indicadores!D16</f>
        <v>13</v>
      </c>
      <c r="E20" s="542" t="str">
        <f>+Indicadores!E16</f>
        <v>PORCENTAJE DE NIÑO MENOR DE 3 AÑOS CON DIAGNOSTICO DE ANEMIA QUE SE HAN RECUPERADO</v>
      </c>
      <c r="F20" s="543" t="str">
        <f>+Indicadores!F16</f>
        <v>Niños menores de 3 años con Diagnostico de Anemia Recuperados</v>
      </c>
      <c r="G20" s="201">
        <f>+VLOOKUP($G$3,Data_Numerador!$C$5:$BK$8,14,FALSE)</f>
        <v>133</v>
      </c>
      <c r="H20" s="201">
        <f>+VLOOKUP($G$3,Data_Numerador!$C$5:$BK$8,44,FALSE)</f>
        <v>110</v>
      </c>
      <c r="I20" s="201"/>
      <c r="J20" s="201"/>
      <c r="K20" s="543" t="str">
        <f>+Indicadores!G16</f>
        <v>Niños menores de 3 años con Diagnostico de Anemia</v>
      </c>
      <c r="L20" s="201">
        <f>+VLOOKUP($G3,Data_Denominador!$B$3:$CN$6,53,FALSE)</f>
        <v>148</v>
      </c>
      <c r="M20" s="201">
        <f>+VLOOKUP($G3,Data_Denominador!$B$3:$CN$6,54,FALSE)</f>
        <v>87</v>
      </c>
      <c r="N20" s="201"/>
      <c r="O20" s="201"/>
      <c r="P20" s="374">
        <f t="shared" si="1"/>
        <v>0.89864864864864868</v>
      </c>
      <c r="Q20" s="374">
        <f t="shared" si="2"/>
        <v>1.264367816091954</v>
      </c>
      <c r="R20" s="374">
        <f t="shared" si="3"/>
        <v>0</v>
      </c>
      <c r="S20" s="374">
        <f t="shared" si="4"/>
        <v>0</v>
      </c>
      <c r="T20" s="375">
        <f t="shared" si="5"/>
        <v>1.0340425531914894</v>
      </c>
      <c r="U20" s="375">
        <f t="shared" si="6"/>
        <v>1.0340425531914894</v>
      </c>
      <c r="V20" s="376" t="str">
        <f>IF(P20&gt;=Indicadores!$J16,"Adecuado",IF(P20&lt;Indicadores!$M16,"Deficiente","Regular"))</f>
        <v>Adecuado</v>
      </c>
      <c r="W20" s="376" t="str">
        <f>IF(Q20&gt;=Indicadores!$J16,"Adecuado",IF(Q20&lt;Indicadores!$M16,"Deficiente","Regular"))</f>
        <v>Adecuado</v>
      </c>
      <c r="X20" s="376"/>
      <c r="Y20" s="376"/>
      <c r="Z20" s="376" t="str">
        <f>IF(T20&gt;=Indicadores!$J16,"Adecuado",IF(T20&lt;Indicadores!$M16,"Deficiente","Regular"))</f>
        <v>Adecuado</v>
      </c>
      <c r="AA20" s="376" t="str">
        <f>IF(U20&gt;=Indicadores!$J16,"Adecuado",IF(U20&lt;Indicadores!$M16,"Deficiente","Regular"))</f>
        <v>Adecuado</v>
      </c>
      <c r="AB20" s="528"/>
      <c r="AC20" s="528"/>
      <c r="AD20" s="528"/>
    </row>
    <row r="21" spans="1:35" ht="33" customHeight="1">
      <c r="A21" s="690"/>
      <c r="B21" s="678" t="s">
        <v>353</v>
      </c>
      <c r="C21" s="679" t="s">
        <v>354</v>
      </c>
      <c r="D21" s="541">
        <f>+Indicadores!D17</f>
        <v>14</v>
      </c>
      <c r="E21" s="542" t="str">
        <f>+Indicadores!E17</f>
        <v>ADOLESCENTE CON PAQUETE COMPLETO</v>
      </c>
      <c r="F21" s="543" t="str">
        <f>+Indicadores!F17</f>
        <v>Adolescente con Paquete Completo</v>
      </c>
      <c r="G21" s="201">
        <f>+VLOOKUP($G$3,Data_Numerador!$C$5:$BK$8,15,FALSE)</f>
        <v>0</v>
      </c>
      <c r="H21" s="201">
        <f>+VLOOKUP($G$3,Data_Numerador!$C$5:$BK$8,45,FALSE)</f>
        <v>0</v>
      </c>
      <c r="I21" s="201"/>
      <c r="J21" s="201"/>
      <c r="K21" s="543" t="str">
        <f>+Indicadores!G17</f>
        <v>Adolescentes Atendidos en el Establecimiento (I-3, I-4)</v>
      </c>
      <c r="L21" s="201">
        <f>+VLOOKUP($G$3,Data_Denominador!$B$3:$CN$6,58,FALSE)</f>
        <v>1357</v>
      </c>
      <c r="M21" s="201">
        <f>+VLOOKUP($G$3,Data_Denominador!$B$3:$CN$6,59,FALSE)</f>
        <v>1133</v>
      </c>
      <c r="N21" s="201"/>
      <c r="O21" s="201"/>
      <c r="P21" s="374">
        <f t="shared" si="1"/>
        <v>0</v>
      </c>
      <c r="Q21" s="374">
        <f t="shared" si="2"/>
        <v>0</v>
      </c>
      <c r="R21" s="374">
        <f t="shared" si="3"/>
        <v>0</v>
      </c>
      <c r="S21" s="374">
        <f t="shared" si="4"/>
        <v>0</v>
      </c>
      <c r="T21" s="375">
        <f t="shared" si="5"/>
        <v>0</v>
      </c>
      <c r="U21" s="375">
        <f t="shared" si="6"/>
        <v>0</v>
      </c>
      <c r="V21" s="376" t="str">
        <f>IF(P21&gt;Indicadores!$J17,"Adecuado",IF(P21&lt;Indicadores!$M17,"Deficiente","Regular"))</f>
        <v>Deficiente</v>
      </c>
      <c r="W21" s="376" t="str">
        <f>IF(Q21&gt;Indicadores!$J17,"Adecuado",IF(Q21&lt;Indicadores!$M17,"Deficiente","Regular"))</f>
        <v>Deficiente</v>
      </c>
      <c r="X21" s="376"/>
      <c r="Y21" s="376"/>
      <c r="Z21" s="376" t="str">
        <f>IF(T21&gt;Indicadores!$J17,"Adecuado",IF(T21&lt;Indicadores!$M17,"Deficiente","Regular"))</f>
        <v>Deficiente</v>
      </c>
      <c r="AA21" s="376" t="str">
        <f>IF(U21&gt;Indicadores!$J17,"Adecuado",IF(U21&lt;Indicadores!$M17,"Deficiente","Regular"))</f>
        <v>Deficiente</v>
      </c>
      <c r="AB21" s="528"/>
      <c r="AC21" s="528"/>
      <c r="AD21" s="528"/>
    </row>
    <row r="22" spans="1:35" ht="33">
      <c r="A22" s="690"/>
      <c r="B22" s="678"/>
      <c r="C22" s="679"/>
      <c r="D22" s="541">
        <f>+Indicadores!D18</f>
        <v>15</v>
      </c>
      <c r="E22" s="542" t="str">
        <f>+Indicadores!E18</f>
        <v>ADULTO CON PAQUETE DE ATENCION INTEGRAL</v>
      </c>
      <c r="F22" s="543" t="str">
        <f>+Indicadores!F18</f>
        <v>Adulto con Paquete de Atencion Integral (Plan Concluido)</v>
      </c>
      <c r="G22" s="201">
        <f>+VLOOKUP($G$3,Data_Numerador!$C$5:$BK$8,16,FALSE)</f>
        <v>0</v>
      </c>
      <c r="H22" s="201">
        <f>+VLOOKUP($G$3,Data_Numerador!$C$5:$BK$8,46,FALSE)</f>
        <v>0</v>
      </c>
      <c r="I22" s="201"/>
      <c r="J22" s="201"/>
      <c r="K22" s="543" t="str">
        <f>+Indicadores!G18</f>
        <v>Adulto Atendidos en el Establecimiento</v>
      </c>
      <c r="L22" s="201">
        <f>+VLOOKUP($G$3,Data_Denominador!$B$3:$CN$6,63,FALSE)</f>
        <v>3132</v>
      </c>
      <c r="M22" s="201">
        <f>+VLOOKUP($G$3,Data_Denominador!$B$3:$CN$6,64,FALSE)</f>
        <v>687</v>
      </c>
      <c r="N22" s="201"/>
      <c r="O22" s="201"/>
      <c r="P22" s="374">
        <f t="shared" si="1"/>
        <v>0</v>
      </c>
      <c r="Q22" s="374">
        <f t="shared" si="2"/>
        <v>0</v>
      </c>
      <c r="R22" s="374">
        <f t="shared" si="3"/>
        <v>0</v>
      </c>
      <c r="S22" s="374">
        <f t="shared" si="4"/>
        <v>0</v>
      </c>
      <c r="T22" s="375">
        <f t="shared" si="5"/>
        <v>0</v>
      </c>
      <c r="U22" s="375">
        <f t="shared" si="6"/>
        <v>0</v>
      </c>
      <c r="V22" s="376" t="str">
        <f>IF(P22&gt;Indicadores!$J18,"Adecuado",IF(P22&lt;Indicadores!$M18,"Deficiente","Regular"))</f>
        <v>Deficiente</v>
      </c>
      <c r="W22" s="376" t="str">
        <f>IF(Q22&gt;Indicadores!$J18,"Adecuado",IF(Q22&lt;Indicadores!$M18,"Deficiente","Regular"))</f>
        <v>Deficiente</v>
      </c>
      <c r="X22" s="376"/>
      <c r="Y22" s="376"/>
      <c r="Z22" s="376" t="str">
        <f>IF(T22&gt;Indicadores!$J18,"Adecuado",IF(T22&lt;Indicadores!$M18,"Deficiente","Regular"))</f>
        <v>Deficiente</v>
      </c>
      <c r="AA22" s="376" t="str">
        <f>IF(U22&gt;Indicadores!$J18,"Adecuado",IF(U22&lt;Indicadores!$M18,"Deficiente","Regular"))</f>
        <v>Deficiente</v>
      </c>
      <c r="AB22" s="528"/>
      <c r="AC22" s="528"/>
      <c r="AD22" s="528"/>
    </row>
    <row r="23" spans="1:35" ht="33">
      <c r="A23" s="690"/>
      <c r="B23" s="678"/>
      <c r="C23" s="679"/>
      <c r="D23" s="541">
        <f>+Indicadores!D19</f>
        <v>16</v>
      </c>
      <c r="E23" s="542" t="str">
        <f>+Indicadores!E19</f>
        <v>ADULTO MAYOR CON PAQUETE DE ATENCION INTEGRAL</v>
      </c>
      <c r="F23" s="543" t="str">
        <f>+Indicadores!F19</f>
        <v>Adulto Mayor con Paquete de Atencion Integral (Plan Concluido)</v>
      </c>
      <c r="G23" s="201">
        <f>+VLOOKUP($G$3,Data_Numerador!$C$5:$BK$8,17,FALSE)</f>
        <v>0</v>
      </c>
      <c r="H23" s="201">
        <f>+VLOOKUP($G$3,Data_Numerador!$C$5:$BK$8,47,FALSE)</f>
        <v>0</v>
      </c>
      <c r="I23" s="201"/>
      <c r="J23" s="201"/>
      <c r="K23" s="543" t="str">
        <f>+Indicadores!G19</f>
        <v>Adulto Mayor Atendidos en el Establecimiento</v>
      </c>
      <c r="L23" s="201">
        <f>+VLOOKUP($G$3,Data_Denominador!$B$3:$CN$6,68,FALSE)</f>
        <v>1102</v>
      </c>
      <c r="M23" s="201">
        <f>+VLOOKUP($G$3,Data_Denominador!$B$3:$CN$6,69,FALSE)</f>
        <v>180</v>
      </c>
      <c r="N23" s="201"/>
      <c r="O23" s="201"/>
      <c r="P23" s="374">
        <f t="shared" si="1"/>
        <v>0</v>
      </c>
      <c r="Q23" s="374">
        <f t="shared" si="2"/>
        <v>0</v>
      </c>
      <c r="R23" s="374">
        <f t="shared" si="3"/>
        <v>0</v>
      </c>
      <c r="S23" s="374">
        <f t="shared" si="4"/>
        <v>0</v>
      </c>
      <c r="T23" s="375">
        <f t="shared" si="5"/>
        <v>0</v>
      </c>
      <c r="U23" s="375">
        <f t="shared" si="6"/>
        <v>0</v>
      </c>
      <c r="V23" s="376" t="str">
        <f>IF(P23&gt;Indicadores!$J19,"Adecuado",IF(P23&lt;Indicadores!$M19,"Deficiente","Regular"))</f>
        <v>Deficiente</v>
      </c>
      <c r="W23" s="376" t="str">
        <f>IF(Q23&gt;Indicadores!$J19,"Adecuado",IF(Q23&lt;Indicadores!$M19,"Deficiente","Regular"))</f>
        <v>Deficiente</v>
      </c>
      <c r="X23" s="376"/>
      <c r="Y23" s="376"/>
      <c r="Z23" s="376" t="str">
        <f>IF(T23&gt;Indicadores!$J19,"Adecuado",IF(T23&lt;Indicadores!$M19,"Deficiente","Regular"))</f>
        <v>Deficiente</v>
      </c>
      <c r="AA23" s="376" t="str">
        <f>IF(U23&gt;Indicadores!$J19,"Adecuado",IF(U23&lt;Indicadores!$M19,"Deficiente","Regular"))</f>
        <v>Deficiente</v>
      </c>
      <c r="AB23" s="528"/>
      <c r="AC23" s="528"/>
      <c r="AD23" s="528"/>
    </row>
    <row r="24" spans="1:35" ht="51" customHeight="1">
      <c r="A24" s="690"/>
      <c r="B24" s="678" t="s">
        <v>327</v>
      </c>
      <c r="C24" s="679" t="s">
        <v>367</v>
      </c>
      <c r="D24" s="541">
        <f>+Indicadores!D20</f>
        <v>17</v>
      </c>
      <c r="E24" s="542" t="str">
        <f>+Indicadores!E20</f>
        <v>PORCENTAJE DE PERSONAS DE 18 AÑOS A MÁS CON DIAGNOSTICO DE DIABETES MELLITUS TIPO 2 NO COMPLICADOS CONTROLADOS</v>
      </c>
      <c r="F24" s="543" t="str">
        <f>+Indicadores!F20</f>
        <v xml:space="preserve">Nº  de personas de 18 años a mas  con diabetes Mellitus tipo 2 controlados </v>
      </c>
      <c r="G24" s="201">
        <f>+VLOOKUP($G$3,Data_Numerador!$C$5:$BK$8,18,FALSE)</f>
        <v>0</v>
      </c>
      <c r="H24" s="201">
        <f>+VLOOKUP($G$3,Data_Numerador!$C$5:$BK$8,48,FALSE)</f>
        <v>0</v>
      </c>
      <c r="I24" s="201"/>
      <c r="J24" s="201"/>
      <c r="K24" s="543" t="str">
        <f>+Indicadores!G20</f>
        <v>N° de Atendido con  diagnostico de diabettes</v>
      </c>
      <c r="L24" s="201">
        <f>+VLOOKUP($G$3,Data_Denominador!$B$3:$CN$6,73,FALSE)</f>
        <v>321</v>
      </c>
      <c r="M24" s="201">
        <f>+VLOOKUP($G$3,Data_Denominador!$B$3:$CN$6,74,FALSE)</f>
        <v>321</v>
      </c>
      <c r="N24" s="201"/>
      <c r="O24" s="201"/>
      <c r="P24" s="374">
        <f t="shared" si="1"/>
        <v>0</v>
      </c>
      <c r="Q24" s="374">
        <f t="shared" si="2"/>
        <v>0</v>
      </c>
      <c r="R24" s="374">
        <f t="shared" si="3"/>
        <v>0</v>
      </c>
      <c r="S24" s="374">
        <f t="shared" si="4"/>
        <v>0</v>
      </c>
      <c r="T24" s="375">
        <f t="shared" si="5"/>
        <v>0</v>
      </c>
      <c r="U24" s="375">
        <f t="shared" si="6"/>
        <v>0</v>
      </c>
      <c r="V24" s="376" t="str">
        <f>IF(P24&gt;Indicadores!$J20,"Adecuado",IF(P24&lt;Indicadores!$M20,"Deficiente","Regular"))</f>
        <v>Deficiente</v>
      </c>
      <c r="W24" s="376" t="str">
        <f>IF(Q24&gt;Indicadores!$J20,"Adecuado",IF(Q24&lt;Indicadores!$M20,"Deficiente","Regular"))</f>
        <v>Deficiente</v>
      </c>
      <c r="X24" s="376"/>
      <c r="Y24" s="376"/>
      <c r="Z24" s="376" t="str">
        <f>IF(T24&gt;Indicadores!$J20,"Adecuado",IF(T24&lt;Indicadores!$M20,"Deficiente","Regular"))</f>
        <v>Deficiente</v>
      </c>
      <c r="AA24" s="376" t="str">
        <f>IF(U24&gt;Indicadores!$J20,"Adecuado",IF(U24&lt;Indicadores!$M20,"Deficiente","Regular"))</f>
        <v>Deficiente</v>
      </c>
      <c r="AB24" s="528"/>
      <c r="AC24" s="528"/>
      <c r="AD24" s="528"/>
    </row>
    <row r="25" spans="1:35" ht="49.5">
      <c r="A25" s="690"/>
      <c r="B25" s="678"/>
      <c r="C25" s="679"/>
      <c r="D25" s="541">
        <f>+Indicadores!D21</f>
        <v>18</v>
      </c>
      <c r="E25" s="542" t="str">
        <f>+Indicadores!E21</f>
        <v>PORCENTAJE DE PERSONAS DE 18 AÑOS A MÁS CON DIAGNOSTICO DE HIPERTENSION ARTERIAL NO COMPLICADOS CONTROLADOS</v>
      </c>
      <c r="F25" s="543" t="str">
        <f>+Indicadores!F21</f>
        <v>Nº de personas de 18  y mas años con diagnostico de Hipertension Arterial Controlados</v>
      </c>
      <c r="G25" s="201">
        <f>+VLOOKUP($G$3,Data_Numerador!$C$5:$BK$8,19,FALSE)</f>
        <v>0</v>
      </c>
      <c r="H25" s="201">
        <f>+VLOOKUP($G$3,Data_Numerador!$C$5:$BK$8,49,FALSE)</f>
        <v>0</v>
      </c>
      <c r="I25" s="201"/>
      <c r="J25" s="201"/>
      <c r="K25" s="543" t="str">
        <f>+Indicadores!G21</f>
        <v>N° de Atendido con  diagnostico de Hipertension</v>
      </c>
      <c r="L25" s="201">
        <f>+VLOOKUP($G$3,Data_Denominador!$B$3:$CN$6,78,FALSE)</f>
        <v>116</v>
      </c>
      <c r="M25" s="201">
        <f>+VLOOKUP($G$3,Data_Denominador!$B$3:$CN$6,79,FALSE)</f>
        <v>116</v>
      </c>
      <c r="N25" s="201"/>
      <c r="O25" s="201"/>
      <c r="P25" s="374">
        <f t="shared" si="1"/>
        <v>0</v>
      </c>
      <c r="Q25" s="374">
        <f t="shared" si="2"/>
        <v>0</v>
      </c>
      <c r="R25" s="374">
        <f t="shared" si="3"/>
        <v>0</v>
      </c>
      <c r="S25" s="374">
        <f t="shared" si="4"/>
        <v>0</v>
      </c>
      <c r="T25" s="375">
        <f t="shared" si="5"/>
        <v>0</v>
      </c>
      <c r="U25" s="375">
        <f t="shared" si="6"/>
        <v>0</v>
      </c>
      <c r="V25" s="376" t="str">
        <f>IF(P25&gt;Indicadores!$J21,"Adecuado",IF(P25&lt;Indicadores!$M21,"Deficiente","Regular"))</f>
        <v>Deficiente</v>
      </c>
      <c r="W25" s="376" t="str">
        <f>IF(Q25&gt;Indicadores!$J21,"Adecuado",IF(Q25&lt;Indicadores!$M21,"Deficiente","Regular"))</f>
        <v>Deficiente</v>
      </c>
      <c r="X25" s="376"/>
      <c r="Y25" s="376"/>
      <c r="Z25" s="376" t="str">
        <f>IF(T25&gt;Indicadores!$J21,"Adecuado",IF(T25&lt;Indicadores!$M21,"Deficiente","Regular"))</f>
        <v>Deficiente</v>
      </c>
      <c r="AA25" s="376" t="str">
        <f>IF(U25&gt;Indicadores!$J21,"Adecuado",IF(U25&lt;Indicadores!$M21,"Deficiente","Regular"))</f>
        <v>Deficiente</v>
      </c>
      <c r="AB25" s="528"/>
      <c r="AC25" s="528"/>
      <c r="AD25" s="528"/>
    </row>
    <row r="26" spans="1:35" ht="49.5">
      <c r="A26" s="690"/>
      <c r="B26" s="678"/>
      <c r="C26" s="679"/>
      <c r="D26" s="541">
        <f>+Indicadores!D22</f>
        <v>19</v>
      </c>
      <c r="E26" s="542" t="str">
        <f>+Indicadores!E22</f>
        <v>PORCENTAJE DE NIÑOS Y NIÑAS DE 3 A 11 AÑOS DE EDAD CON ALTA BASICA ODONTOLOGICA</v>
      </c>
      <c r="F26" s="543" t="str">
        <f>+Indicadores!F22</f>
        <v>Niñas y niños de 3 a 11 años con alta básica odontológica</v>
      </c>
      <c r="G26" s="201">
        <f>+VLOOKUP($G$3,Data_Numerador!$C$5:$BK$8,20,FALSE)</f>
        <v>0</v>
      </c>
      <c r="H26" s="201">
        <f>+VLOOKUP($G$3,Data_Numerador!$C$5:$BK$8,50,FALSE)</f>
        <v>0</v>
      </c>
      <c r="I26" s="201"/>
      <c r="J26" s="201"/>
      <c r="K26" s="543" t="str">
        <f>+Indicadores!G22</f>
        <v>Niñas y niños de 3 a 11 años atendidos y con evaluación oral completa</v>
      </c>
      <c r="L26" s="201">
        <f>+VLOOKUP($G$3,Data_Denominador!$B$3:$CN$6,83,FALSE)</f>
        <v>129</v>
      </c>
      <c r="M26" s="201">
        <f>+VLOOKUP($G$3,Data_Denominador!$B$3:$CN$6,84,FALSE)</f>
        <v>1029</v>
      </c>
      <c r="N26" s="201"/>
      <c r="O26" s="201"/>
      <c r="P26" s="374">
        <f t="shared" si="1"/>
        <v>0</v>
      </c>
      <c r="Q26" s="374">
        <f t="shared" si="2"/>
        <v>0</v>
      </c>
      <c r="R26" s="374">
        <f t="shared" si="3"/>
        <v>0</v>
      </c>
      <c r="S26" s="374">
        <f t="shared" si="4"/>
        <v>0</v>
      </c>
      <c r="T26" s="375">
        <f t="shared" si="5"/>
        <v>0</v>
      </c>
      <c r="U26" s="375">
        <f t="shared" si="6"/>
        <v>0</v>
      </c>
      <c r="V26" s="376" t="str">
        <f>IF(P26&gt;Indicadores!$J22,"Adecuado",IF(P26&lt;Indicadores!$M22,"Deficiente","Regular"))</f>
        <v>Deficiente</v>
      </c>
      <c r="W26" s="376" t="str">
        <f>IF(Q26&gt;Indicadores!$J22,"Adecuado",IF(Q26&lt;Indicadores!$M22,"Deficiente","Regular"))</f>
        <v>Deficiente</v>
      </c>
      <c r="X26" s="376"/>
      <c r="Y26" s="376"/>
      <c r="Z26" s="376" t="str">
        <f>IF(T26&gt;Indicadores!$J22,"Adecuado",IF(T26&lt;Indicadores!$M22,"Deficiente","Regular"))</f>
        <v>Deficiente</v>
      </c>
      <c r="AA26" s="376" t="str">
        <f>IF(U26&gt;Indicadores!$J22,"Adecuado",IF(U26&lt;Indicadores!$M22,"Deficiente","Regular"))</f>
        <v>Deficiente</v>
      </c>
      <c r="AB26" s="528"/>
      <c r="AC26" s="528"/>
      <c r="AD26" s="528"/>
    </row>
    <row r="27" spans="1:35" ht="38.25">
      <c r="A27" s="690"/>
      <c r="B27" s="678"/>
      <c r="C27" s="679"/>
      <c r="D27" s="541">
        <f>+Indicadores!D23</f>
        <v>20</v>
      </c>
      <c r="E27" s="542" t="str">
        <f>+Indicadores!E23</f>
        <v>TAMIZAJE DE CATARATAS MEDIANTE EXAMEN DE AGUDEZA VISUAL EN PERSONAS DE 50 AÑOS A MAS</v>
      </c>
      <c r="F27" s="543" t="str">
        <f>+Indicadores!F23</f>
        <v>Tamizaje de agudeza visual en personas de 50 años a mas</v>
      </c>
      <c r="G27" s="201">
        <f>+VLOOKUP($G$3,Data_Numerador!$C$5:$BK$8,21,FALSE)</f>
        <v>0</v>
      </c>
      <c r="H27" s="201">
        <f>+VLOOKUP($G$3,Data_Numerador!$C$5:$BK$8,51,FALSE)</f>
        <v>0</v>
      </c>
      <c r="I27" s="201"/>
      <c r="J27" s="201"/>
      <c r="K27" s="543" t="str">
        <f>+Indicadores!G23</f>
        <v>10% de la Poblacion INEI de 50 a mas años</v>
      </c>
      <c r="L27" s="201">
        <f>+VLOOKUP($G$3,Data_Denominador!$B$3:$AK$6,28,FALSE)</f>
        <v>0</v>
      </c>
      <c r="M27" s="201">
        <f>+VLOOKUP($G$3,Data_Denominador!$B$3:$AK$6,29,FALSE)</f>
        <v>0</v>
      </c>
      <c r="N27" s="201"/>
      <c r="O27" s="201"/>
      <c r="P27" s="374">
        <f t="shared" si="1"/>
        <v>0</v>
      </c>
      <c r="Q27" s="374">
        <f t="shared" si="2"/>
        <v>0</v>
      </c>
      <c r="R27" s="374">
        <f t="shared" si="3"/>
        <v>0</v>
      </c>
      <c r="S27" s="374">
        <f t="shared" si="4"/>
        <v>0</v>
      </c>
      <c r="T27" s="375">
        <f t="shared" si="5"/>
        <v>0</v>
      </c>
      <c r="U27" s="375">
        <f t="shared" si="6"/>
        <v>0</v>
      </c>
      <c r="V27" s="376" t="str">
        <f>IF(P27&gt;Indicadores!$J23,"Adecuado",IF(P27&lt;Indicadores!$M23,"Deficiente","Regular"))</f>
        <v>Deficiente</v>
      </c>
      <c r="W27" s="376" t="str">
        <f>IF(Q27&gt;Indicadores!$J23,"Adecuado",IF(Q27&lt;Indicadores!$M23,"Deficiente","Regular"))</f>
        <v>Deficiente</v>
      </c>
      <c r="X27" s="376"/>
      <c r="Y27" s="376"/>
      <c r="Z27" s="376" t="str">
        <f>IF(T27&gt;Indicadores!$J23,"Adecuado",IF(T27&lt;Indicadores!$M23,"Deficiente","Regular"))</f>
        <v>Deficiente</v>
      </c>
      <c r="AA27" s="376" t="str">
        <f>IF(U27&gt;Indicadores!$J23,"Adecuado",IF(U27&lt;Indicadores!$M23,"Deficiente","Regular"))</f>
        <v>Deficiente</v>
      </c>
      <c r="AB27" s="528"/>
      <c r="AC27" s="528"/>
      <c r="AD27" s="528"/>
    </row>
    <row r="28" spans="1:35" ht="82.5">
      <c r="A28" s="690"/>
      <c r="B28" s="678"/>
      <c r="C28" s="679"/>
      <c r="D28" s="541">
        <f>+Indicadores!D24</f>
        <v>21</v>
      </c>
      <c r="E28" s="542" t="str">
        <f>+Indicadores!E24</f>
        <v>PERSONAS TAMIZADAS CON TRASTORNOS MENTALES Y PROBLEMAS PSICOSOCIALES</v>
      </c>
      <c r="F28" s="543" t="str">
        <f>+Indicadores!F24</f>
        <v>N° de personas tamizadas por Salud Mental (depresion, ansiedad, consumo de alcohol y psicosis) y/o problemas psicosociales (violencia familiar, maltrato infantil y violencia social) de 3 a 17 años</v>
      </c>
      <c r="G28" s="201">
        <f>+VLOOKUP($G$3,Data_Numerador!$C$5:$BK$8,22,FALSE)</f>
        <v>0</v>
      </c>
      <c r="H28" s="201">
        <f>+VLOOKUP($G$3,Data_Numerador!$C$5:$BK$8,52,FALSE)</f>
        <v>0</v>
      </c>
      <c r="I28" s="201"/>
      <c r="J28" s="201"/>
      <c r="K28" s="543" t="str">
        <f>+Indicadores!G24</f>
        <v>Poblacion de 3 a 17 años</v>
      </c>
      <c r="L28" s="201">
        <f>+VLOOKUP($G$3,Data_Denominador!$B$3:$AK$6,13,FALSE)</f>
        <v>0</v>
      </c>
      <c r="M28" s="201">
        <f>+VLOOKUP($G$3,Data_Denominador!$B$3:$AK$6,14,FALSE)</f>
        <v>0</v>
      </c>
      <c r="N28" s="201"/>
      <c r="O28" s="201"/>
      <c r="P28" s="374">
        <f t="shared" si="1"/>
        <v>0</v>
      </c>
      <c r="Q28" s="374">
        <f t="shared" si="2"/>
        <v>0</v>
      </c>
      <c r="R28" s="374">
        <f t="shared" si="3"/>
        <v>0</v>
      </c>
      <c r="S28" s="374">
        <f t="shared" si="4"/>
        <v>0</v>
      </c>
      <c r="T28" s="375">
        <f t="shared" si="5"/>
        <v>0</v>
      </c>
      <c r="U28" s="375">
        <f t="shared" si="6"/>
        <v>0</v>
      </c>
      <c r="V28" s="376" t="str">
        <f>IF(P28&gt;=Indicadores!$J24,"Adecuado",IF(P28&lt;Indicadores!$M24,"Deficiente","Regular"))</f>
        <v>Deficiente</v>
      </c>
      <c r="W28" s="376" t="str">
        <f>IF(Q28&gt;=Indicadores!$J24,"Adecuado",IF(Q28&lt;Indicadores!$M24,"Deficiente","Regular"))</f>
        <v>Deficiente</v>
      </c>
      <c r="X28" s="376"/>
      <c r="Y28" s="376"/>
      <c r="Z28" s="376" t="str">
        <f>IF(T28&gt;=Indicadores!$J24,"Adecuado",IF(T28&lt;Indicadores!$M24,"Deficiente","Regular"))</f>
        <v>Deficiente</v>
      </c>
      <c r="AA28" s="376" t="str">
        <f>IF(U28&gt;=Indicadores!$J24,"Adecuado",IF(U28&lt;Indicadores!$M24,"Deficiente","Regular"))</f>
        <v>Deficiente</v>
      </c>
      <c r="AB28" s="528"/>
      <c r="AC28" s="528"/>
      <c r="AD28" s="528"/>
    </row>
    <row r="29" spans="1:35" ht="49.5">
      <c r="A29" s="690"/>
      <c r="B29" s="678"/>
      <c r="C29" s="679"/>
      <c r="D29" s="541">
        <f>+Indicadores!D25</f>
        <v>22</v>
      </c>
      <c r="E29" s="542" t="str">
        <f>+Indicadores!E25</f>
        <v>PERSONAS CON TRASTORNOS MENTALES Y PROBLEMAS PSICOSOCIALES DETECTADAS</v>
      </c>
      <c r="F29" s="543" t="str">
        <f>+Indicadores!F25</f>
        <v xml:space="preserve">Número de personas detectadas por problemas psicosociales tienen diagnóstico </v>
      </c>
      <c r="G29" s="201">
        <f>+VLOOKUP($G$3,Data_Numerador!$C$5:$BK$8,23,FALSE)</f>
        <v>0</v>
      </c>
      <c r="H29" s="201">
        <f>+VLOOKUP($G$3,Data_Numerador!$C$5:$BK$8,53,FALSE)</f>
        <v>0</v>
      </c>
      <c r="I29" s="201"/>
      <c r="J29" s="201"/>
      <c r="K29" s="543" t="str">
        <f>+Indicadores!G25</f>
        <v>Número de personas con tamizadas por Salud Mental</v>
      </c>
      <c r="L29" s="201">
        <f>+VLOOKUP($G$3,Data_Denominador!$B$3:$CN$6,88,FALSE)</f>
        <v>1434</v>
      </c>
      <c r="M29" s="201">
        <f>+VLOOKUP($G$3,Data_Denominador!$B$3:$CN$6,89,FALSE)</f>
        <v>1618</v>
      </c>
      <c r="N29" s="201"/>
      <c r="O29" s="201"/>
      <c r="P29" s="374">
        <f t="shared" si="1"/>
        <v>0</v>
      </c>
      <c r="Q29" s="374">
        <f t="shared" si="2"/>
        <v>0</v>
      </c>
      <c r="R29" s="374">
        <f t="shared" si="3"/>
        <v>0</v>
      </c>
      <c r="S29" s="374">
        <f t="shared" si="4"/>
        <v>0</v>
      </c>
      <c r="T29" s="375">
        <f t="shared" si="5"/>
        <v>0</v>
      </c>
      <c r="U29" s="375">
        <f t="shared" si="6"/>
        <v>0</v>
      </c>
      <c r="V29" s="376" t="str">
        <f>IF(P29&gt;=Indicadores!$J25,"Adecuado",IF(P29&lt;Indicadores!$M25,"Deficiente","Regular"))</f>
        <v>Deficiente</v>
      </c>
      <c r="W29" s="376" t="str">
        <f>IF(Q29&gt;=Indicadores!$J25,"Adecuado",IF(Q29&lt;Indicadores!$M25,"Deficiente","Regular"))</f>
        <v>Deficiente</v>
      </c>
      <c r="X29" s="376"/>
      <c r="Y29" s="376"/>
      <c r="Z29" s="376" t="str">
        <f>IF(T29&gt;=Indicadores!$J25,"Adecuado",IF(T29&lt;Indicadores!$M25,"Deficiente","Regular"))</f>
        <v>Deficiente</v>
      </c>
      <c r="AA29" s="376" t="str">
        <f>IF(U29&gt;=Indicadores!$J25,"Adecuado",IF(U29&lt;Indicadores!$M25,"Deficiente","Regular"))</f>
        <v>Deficiente</v>
      </c>
      <c r="AB29" s="528"/>
      <c r="AC29" s="528"/>
      <c r="AD29" s="528"/>
    </row>
    <row r="30" spans="1:35" ht="80.25" customHeight="1">
      <c r="A30" s="690"/>
      <c r="B30" s="678" t="s">
        <v>209</v>
      </c>
      <c r="C30" s="679" t="s">
        <v>368</v>
      </c>
      <c r="D30" s="541">
        <f>+Indicadores!D26</f>
        <v>23</v>
      </c>
      <c r="E30" s="542" t="str">
        <f>+Indicadores!E26</f>
        <v xml:space="preserve">PORCENTAJE DE SINTOMATICOS RESPIRATORIOS MAYOR A 15 AÑOS CON BACILOSCOPIA </v>
      </c>
      <c r="F30" s="543" t="str">
        <f>+Indicadores!F26</f>
        <v xml:space="preserve">Nº de sintomatico respiratorio bacteriologicamente positivo </v>
      </c>
      <c r="G30" s="201">
        <f>+VLOOKUP($G$3,Data_Numerador!$C$5:$BK$8,24,FALSE)</f>
        <v>0</v>
      </c>
      <c r="H30" s="201">
        <f>+VLOOKUP($G$3,Data_Numerador!$C$5:$BK$8,54,FALSE)</f>
        <v>0</v>
      </c>
      <c r="I30" s="201"/>
      <c r="J30" s="201"/>
      <c r="K30" s="543" t="str">
        <f>+Indicadores!G26</f>
        <v>Nº de sintomatico respiratorio examinado  x 100</v>
      </c>
      <c r="L30" s="201">
        <f>+VLOOKUP($G$3,Data_Denominador!$B$3:$DM$6,93,FALSE)</f>
        <v>1225</v>
      </c>
      <c r="M30" s="201">
        <f>+VLOOKUP($G$3,Data_Denominador!$B$3:$DM$6,93,FALSE)</f>
        <v>1225</v>
      </c>
      <c r="N30" s="201"/>
      <c r="O30" s="201"/>
      <c r="P30" s="374">
        <f t="shared" si="1"/>
        <v>0</v>
      </c>
      <c r="Q30" s="374">
        <f t="shared" si="2"/>
        <v>0</v>
      </c>
      <c r="R30" s="374">
        <f t="shared" si="3"/>
        <v>0</v>
      </c>
      <c r="S30" s="374">
        <f t="shared" si="4"/>
        <v>0</v>
      </c>
      <c r="T30" s="375">
        <f t="shared" si="5"/>
        <v>0</v>
      </c>
      <c r="U30" s="375">
        <f t="shared" si="6"/>
        <v>0</v>
      </c>
      <c r="V30" s="376" t="str">
        <f>IF(P30&gt;=Indicadores!$J26,"Adecuado",IF(P30&lt;Indicadores!$M26,"Deficiente","Regular"))</f>
        <v>Deficiente</v>
      </c>
      <c r="W30" s="376" t="str">
        <f>IF(Q30&gt;=Indicadores!$J26,"Adecuado",IF(Q30&lt;Indicadores!$M26,"Deficiente","Regular"))</f>
        <v>Deficiente</v>
      </c>
      <c r="X30" s="376"/>
      <c r="Y30" s="376"/>
      <c r="Z30" s="376" t="str">
        <f>IF(T30&gt;=Indicadores!$J26,"Adecuado",IF(T30&lt;Indicadores!$M26,"Deficiente","Regular"))</f>
        <v>Deficiente</v>
      </c>
      <c r="AA30" s="376" t="str">
        <f>IF(U30&gt;=Indicadores!$J26,"Adecuado",IF(U30&lt;Indicadores!$M26,"Deficiente","Regular"))</f>
        <v>Deficiente</v>
      </c>
      <c r="AB30" s="528"/>
      <c r="AC30" s="528"/>
      <c r="AD30" s="528"/>
    </row>
    <row r="31" spans="1:35" ht="38.25">
      <c r="A31" s="690"/>
      <c r="B31" s="678"/>
      <c r="C31" s="679"/>
      <c r="D31" s="541">
        <f>+Indicadores!D27</f>
        <v>24</v>
      </c>
      <c r="E31" s="542" t="str">
        <f>+Indicadores!E27</f>
        <v>% HOMBRES QUE TIENEN SEXO CON HOMBRES (HSH) QUE SON TAMIZADOS PARA VIH DE UNA POBLACION ESTIMADA</v>
      </c>
      <c r="F31" s="543" t="str">
        <f>+Indicadores!F27</f>
        <v>N° de HSH con tamizaje de VIH x 100</v>
      </c>
      <c r="G31" s="201">
        <f>+VLOOKUP($G$3,Data_Numerador!$C$5:$BK$8,25,FALSE)</f>
        <v>0</v>
      </c>
      <c r="H31" s="201">
        <f>+VLOOKUP($G$3,Data_Numerador!$C$5:$BK$8,55,FALSE)</f>
        <v>0</v>
      </c>
      <c r="I31" s="201"/>
      <c r="J31" s="201"/>
      <c r="K31" s="543" t="str">
        <f>+Indicadores!G27</f>
        <v xml:space="preserve">Total de HSH estimados </v>
      </c>
      <c r="L31" s="201">
        <f>+VLOOKUP($G$3,Data_Denominador!$B$3:$DM$6,98,FALSE)</f>
        <v>95</v>
      </c>
      <c r="M31" s="201">
        <f>+VLOOKUP($G$3,Data_Denominador!$B$3:$DM$6,99,FALSE)</f>
        <v>95</v>
      </c>
      <c r="N31" s="201"/>
      <c r="O31" s="201"/>
      <c r="P31" s="374">
        <f t="shared" si="1"/>
        <v>0</v>
      </c>
      <c r="Q31" s="374">
        <f t="shared" si="2"/>
        <v>0</v>
      </c>
      <c r="R31" s="374">
        <f t="shared" si="3"/>
        <v>0</v>
      </c>
      <c r="S31" s="374">
        <f t="shared" si="4"/>
        <v>0</v>
      </c>
      <c r="T31" s="375">
        <f t="shared" si="5"/>
        <v>0</v>
      </c>
      <c r="U31" s="375">
        <f t="shared" si="6"/>
        <v>0</v>
      </c>
      <c r="V31" s="376" t="str">
        <f>IF(P31&gt;=Indicadores!$J27,"Adecuado",IF(P31&lt;Indicadores!$M27,"Deficiente","Regular"))</f>
        <v>Deficiente</v>
      </c>
      <c r="W31" s="376" t="str">
        <f>IF(Q31&gt;=Indicadores!$J27,"Adecuado",IF(Q31&lt;Indicadores!$M27,"Deficiente","Regular"))</f>
        <v>Deficiente</v>
      </c>
      <c r="X31" s="376"/>
      <c r="Y31" s="376"/>
      <c r="Z31" s="376" t="str">
        <f>IF(T31&gt;=Indicadores!$J27,"Adecuado",IF(T31&lt;Indicadores!$M27,"Deficiente","Regular"))</f>
        <v>Deficiente</v>
      </c>
      <c r="AA31" s="376" t="str">
        <f>IF(U31&gt;=Indicadores!$J27,"Adecuado",IF(U31&lt;Indicadores!$M27,"Deficiente","Regular"))</f>
        <v>Deficiente</v>
      </c>
      <c r="AB31" s="528"/>
      <c r="AC31" s="528"/>
      <c r="AD31" s="528"/>
    </row>
    <row r="32" spans="1:35" ht="49.5">
      <c r="A32" s="690"/>
      <c r="B32" s="678"/>
      <c r="C32" s="679"/>
      <c r="D32" s="541">
        <f>+Indicadores!D28</f>
        <v>25</v>
      </c>
      <c r="E32" s="542" t="str">
        <f>+Indicadores!E28</f>
        <v>VIVIENDA PROTEGIDA CON TRATAMIENTO FOCAL</v>
      </c>
      <c r="F32" s="543" t="str">
        <f>+Indicadores!F28</f>
        <v>N° inspecciones de viviendas en las que se realizó tratamiento focal en el trimestre</v>
      </c>
      <c r="G32" s="201">
        <f>+VLOOKUP($G$3,Data_Numerador!$C$5:$BK$8,26,FALSE)</f>
        <v>0</v>
      </c>
      <c r="H32" s="201">
        <f>+VLOOKUP($G$3,Data_Numerador!$C$5:$BK$8,56,FALSE)</f>
        <v>0</v>
      </c>
      <c r="I32" s="201"/>
      <c r="J32" s="201"/>
      <c r="K32" s="543" t="str">
        <f>+Indicadores!G28</f>
        <v>N° inspecciones de viviendas programadas para tratamiento focal  en el trimestre</v>
      </c>
      <c r="L32" s="201">
        <f>+VLOOKUP($G$3,Data_Denominador!$B$3:$DM$6,103,FALSE)</f>
        <v>5402</v>
      </c>
      <c r="M32" s="201">
        <f>+VLOOKUP($G$3,Data_Denominador!$B$3:$DM$6,104,FALSE)</f>
        <v>5402</v>
      </c>
      <c r="N32" s="201"/>
      <c r="O32" s="201"/>
      <c r="P32" s="374">
        <f t="shared" si="1"/>
        <v>0</v>
      </c>
      <c r="Q32" s="374">
        <f t="shared" si="2"/>
        <v>0</v>
      </c>
      <c r="R32" s="374">
        <f t="shared" si="3"/>
        <v>0</v>
      </c>
      <c r="S32" s="374">
        <f t="shared" si="4"/>
        <v>0</v>
      </c>
      <c r="T32" s="375">
        <f t="shared" si="5"/>
        <v>0</v>
      </c>
      <c r="U32" s="375">
        <f t="shared" si="6"/>
        <v>0</v>
      </c>
      <c r="V32" s="376" t="str">
        <f>IF(P32&gt;=Indicadores!$J28,"Adecuado",IF(P32&lt;Indicadores!$M28,"Deficiente","Regular"))</f>
        <v>Deficiente</v>
      </c>
      <c r="W32" s="376" t="str">
        <f>IF(Q32&gt;=Indicadores!$J28,"Adecuado",IF(Q32&lt;Indicadores!$M28,"Deficiente","Regular"))</f>
        <v>Deficiente</v>
      </c>
      <c r="X32" s="376"/>
      <c r="Y32" s="376"/>
      <c r="Z32" s="376" t="str">
        <f>IF(T32&gt;=Indicadores!$J28,"Adecuado",IF(T32&lt;Indicadores!$M28,"Deficiente","Regular"))</f>
        <v>Deficiente</v>
      </c>
      <c r="AA32" s="376" t="str">
        <f>IF(U32&gt;=Indicadores!$J28,"Adecuado",IF(U32&lt;Indicadores!$M28,"Deficiente","Regular"))</f>
        <v>Deficiente</v>
      </c>
      <c r="AB32" s="528"/>
      <c r="AC32" s="528"/>
      <c r="AD32" s="528"/>
    </row>
    <row r="33" spans="1:30" ht="70.5" customHeight="1">
      <c r="A33" s="690"/>
      <c r="B33" s="540" t="s">
        <v>382</v>
      </c>
      <c r="C33" s="312" t="s">
        <v>382</v>
      </c>
      <c r="D33" s="541">
        <f>+Indicadores!D29</f>
        <v>26</v>
      </c>
      <c r="E33" s="542" t="str">
        <f>+Indicadores!E29</f>
        <v>COBERURA DE TELEINTERCONSULTAS</v>
      </c>
      <c r="F33" s="543" t="str">
        <f>+Indicadores!F29</f>
        <v>Atendidos por Teleinterconsulta (Consultor y Consultante)</v>
      </c>
      <c r="G33" s="201">
        <f>+VLOOKUP($G$3,Data_Numerador!$C$5:$BK$8,27,FALSE)</f>
        <v>0</v>
      </c>
      <c r="H33" s="201">
        <f>+VLOOKUP($G$3,Data_Numerador!$C$5:$BK$8,57,FALSE)</f>
        <v>0</v>
      </c>
      <c r="I33" s="201"/>
      <c r="J33" s="201"/>
      <c r="K33" s="543" t="str">
        <f>+Indicadores!G29</f>
        <v>Atenciones de las Teleinterconsultas en el Establecimiento</v>
      </c>
      <c r="L33" s="201">
        <f>+VLOOKUP($G$3,Data_Denominador!$B$3:$DM$6,108,FALSE)</f>
        <v>265</v>
      </c>
      <c r="M33" s="201">
        <f>+VLOOKUP($G$3,Data_Denominador!$B$3:$DM$6,109,FALSE)</f>
        <v>98</v>
      </c>
      <c r="N33" s="201"/>
      <c r="O33" s="201"/>
      <c r="P33" s="374">
        <f t="shared" si="1"/>
        <v>0</v>
      </c>
      <c r="Q33" s="374">
        <f t="shared" si="2"/>
        <v>0</v>
      </c>
      <c r="R33" s="374">
        <f t="shared" si="3"/>
        <v>0</v>
      </c>
      <c r="S33" s="374">
        <f t="shared" si="4"/>
        <v>0</v>
      </c>
      <c r="T33" s="375">
        <f t="shared" si="5"/>
        <v>0</v>
      </c>
      <c r="U33" s="375">
        <f t="shared" si="6"/>
        <v>0</v>
      </c>
      <c r="V33" s="376" t="str">
        <f>IF(P33&gt;=Indicadores!$J29,"Adecuado",IF(P33&lt;Indicadores!$M29,"Deficiente","Regular"))</f>
        <v>Deficiente</v>
      </c>
      <c r="W33" s="376" t="str">
        <f>IF(Q33&gt;=Indicadores!$J29,"Adecuado",IF(Q33&lt;Indicadores!$M29,"Deficiente","Regular"))</f>
        <v>Deficiente</v>
      </c>
      <c r="X33" s="376"/>
      <c r="Y33" s="376"/>
      <c r="Z33" s="376" t="str">
        <f>IF(T33&gt;=Indicadores!$J29,"Adecuado",IF(T33&lt;Indicadores!$M29,"Deficiente","Regular"))</f>
        <v>Deficiente</v>
      </c>
      <c r="AA33" s="376" t="str">
        <f>IF(U33&gt;=Indicadores!$J29,"Adecuado",IF(U33&lt;Indicadores!$M29,"Deficiente","Regular"))</f>
        <v>Deficiente</v>
      </c>
      <c r="AB33" s="528"/>
      <c r="AC33" s="528"/>
      <c r="AD33" s="528"/>
    </row>
    <row r="34" spans="1:30" ht="109.5" customHeight="1">
      <c r="A34" s="690" t="s">
        <v>174</v>
      </c>
      <c r="B34" s="540" t="s">
        <v>72</v>
      </c>
      <c r="C34" s="312" t="s">
        <v>332</v>
      </c>
      <c r="D34" s="541">
        <f>+Indicadores!D30</f>
        <v>27</v>
      </c>
      <c r="E34" s="542" t="str">
        <f>+Indicadores!E30</f>
        <v>PORCENTAJE DE DISPONIBILIDAD DE MEDICAMENTOS ESENCIALES POR EE.SS</v>
      </c>
      <c r="F34" s="543" t="str">
        <f>+Indicadores!F30</f>
        <v>Mide el porcentaje la disponibilidad adecuada de Medicamentos Esenciales (ME) mayor o igual a 2 meses incluidos en el Petitorio nacional de Medicamentos Esenciales (PNUME) vigente que gestiona una EE.SS, de acuerdo a los Medicamentos Esenciales que maneja</v>
      </c>
      <c r="G34" s="201">
        <f>+VLOOKUP($G$3,Data_Numerador!$C$5:$BK$8,28,FALSE)/3</f>
        <v>0</v>
      </c>
      <c r="H34" s="201">
        <f>+VLOOKUP($G$3,Data_Numerador!$C$5:$BK$8,58,FALSE)/3</f>
        <v>0</v>
      </c>
      <c r="I34" s="201"/>
      <c r="J34" s="201"/>
      <c r="K34" s="543" t="str">
        <f>+Indicadores!G30</f>
        <v>Número de Medicamentos Esenciales en la EE.SS en condición de normostock y sobrestock/Numero de Medicamentos Esenciales que maneja la EE.SS 
en condición de normostock, sobrestock, substock y 
desabastecido * 100</v>
      </c>
      <c r="L34" s="201">
        <f>+VLOOKUP($G$3,Data_Denominador!$B$3:$DM$6,113,FALSE)</f>
        <v>20</v>
      </c>
      <c r="M34" s="201">
        <f>+VLOOKUP($G$3,Data_Denominador!$B$3:$DM$6,114,FALSE)</f>
        <v>20</v>
      </c>
      <c r="N34" s="201"/>
      <c r="O34" s="201"/>
      <c r="P34" s="374">
        <f t="shared" si="1"/>
        <v>0</v>
      </c>
      <c r="Q34" s="374">
        <f t="shared" si="2"/>
        <v>0</v>
      </c>
      <c r="R34" s="374">
        <f t="shared" si="3"/>
        <v>0</v>
      </c>
      <c r="S34" s="374">
        <f t="shared" si="4"/>
        <v>0</v>
      </c>
      <c r="T34" s="375">
        <f t="shared" si="5"/>
        <v>0</v>
      </c>
      <c r="U34" s="375">
        <f t="shared" si="6"/>
        <v>0</v>
      </c>
      <c r="V34" s="376" t="str">
        <f>IF(P34&gt;=Indicadores!$J30,"Adecuado",IF(P34&lt;Indicadores!$M30,"Deficiente","Regular"))</f>
        <v>Deficiente</v>
      </c>
      <c r="W34" s="376" t="str">
        <f>IF(Q34&gt;=Indicadores!$J30,"Adecuado",IF(Q34&lt;Indicadores!$M30,"Deficiente","Regular"))</f>
        <v>Deficiente</v>
      </c>
      <c r="X34" s="376"/>
      <c r="Y34" s="376"/>
      <c r="Z34" s="376" t="str">
        <f>IF(T34&gt;=Indicadores!$J30,"Adecuado",IF(T34&lt;Indicadores!$M30,"Deficiente","Regular"))</f>
        <v>Deficiente</v>
      </c>
      <c r="AA34" s="376" t="str">
        <f>IF(U34&gt;=Indicadores!$J30,"Adecuado",IF(U34&lt;Indicadores!$M30,"Deficiente","Regular"))</f>
        <v>Deficiente</v>
      </c>
      <c r="AB34" s="528"/>
      <c r="AC34" s="528"/>
      <c r="AD34" s="528"/>
    </row>
    <row r="35" spans="1:30" ht="88.5" customHeight="1">
      <c r="A35" s="690"/>
      <c r="B35" s="540" t="s">
        <v>182</v>
      </c>
      <c r="C35" s="312" t="s">
        <v>183</v>
      </c>
      <c r="D35" s="541">
        <f>+Indicadores!D31</f>
        <v>28</v>
      </c>
      <c r="E35" s="542" t="str">
        <f>+Indicadores!E31</f>
        <v xml:space="preserve">PORCENTAJE DE REFERENCIA POR EMERGENCIA SEGÚN PRIORIDAD   I y II </v>
      </c>
      <c r="F35" s="543" t="str">
        <f>+Indicadores!F31</f>
        <v>numero de referencias que ciumplen los criterios de prioridad I y II según capacidad resolutiva</v>
      </c>
      <c r="G35" s="201">
        <f>+VLOOKUP($G$3,Data_Numerador!$C$5:$BK$8,29,FALSE)</f>
        <v>0</v>
      </c>
      <c r="H35" s="201">
        <f>+VLOOKUP($G$3,Data_Numerador!$C$5:$BK$8,59,FALSE)</f>
        <v>0</v>
      </c>
      <c r="I35" s="201"/>
      <c r="J35" s="201"/>
      <c r="K35" s="543" t="str">
        <f>+Indicadores!G31</f>
        <v>toatal de referencias por emergencia según prioridad I y II  x 100</v>
      </c>
      <c r="L35" s="201">
        <f>+VLOOKUP($G$3,Data_Denominador!$B$3:$EB$6,118,FALSE)</f>
        <v>100</v>
      </c>
      <c r="M35" s="201">
        <f>+VLOOKUP($G$3,Data_Denominador!$B$3:$EB$6,119,FALSE)</f>
        <v>110</v>
      </c>
      <c r="N35" s="284"/>
      <c r="O35" s="284"/>
      <c r="P35" s="374">
        <f t="shared" si="1"/>
        <v>0</v>
      </c>
      <c r="Q35" s="374">
        <f t="shared" si="2"/>
        <v>0</v>
      </c>
      <c r="R35" s="374">
        <f t="shared" si="3"/>
        <v>0</v>
      </c>
      <c r="S35" s="374">
        <f t="shared" si="4"/>
        <v>0</v>
      </c>
      <c r="T35" s="375">
        <f t="shared" si="5"/>
        <v>0</v>
      </c>
      <c r="U35" s="375">
        <f t="shared" si="6"/>
        <v>0</v>
      </c>
      <c r="V35" s="376" t="str">
        <f>IF(P35&gt;=Indicadores!$J31,"Adecuado",IF(P35&lt;Indicadores!$M31,"Deficiente","Regular"))</f>
        <v>Deficiente</v>
      </c>
      <c r="W35" s="376" t="str">
        <f>IF(Q35&gt;=Indicadores!$J31,"Adecuado",IF(Q35&lt;Indicadores!$M31,"Deficiente","Regular"))</f>
        <v>Deficiente</v>
      </c>
      <c r="X35" s="376"/>
      <c r="Y35" s="376"/>
      <c r="Z35" s="376" t="str">
        <f>IF(T35&gt;=Indicadores!$J31,"Adecuado",IF(T35&lt;Indicadores!$M31,"Deficiente","Regular"))</f>
        <v>Deficiente</v>
      </c>
      <c r="AA35" s="376" t="str">
        <f>IF(U35&gt;=Indicadores!$J31,"Adecuado",IF(U35&lt;Indicadores!$M31,"Deficiente","Regular"))</f>
        <v>Deficiente</v>
      </c>
      <c r="AB35" s="528"/>
      <c r="AC35" s="528"/>
      <c r="AD35" s="528"/>
    </row>
    <row r="36" spans="1:30" ht="51.75" customHeight="1">
      <c r="A36" s="690"/>
      <c r="B36" s="687" t="s">
        <v>369</v>
      </c>
      <c r="C36" s="691" t="s">
        <v>421</v>
      </c>
      <c r="D36" s="541">
        <f>+Indicadores!D32</f>
        <v>29</v>
      </c>
      <c r="E36" s="542" t="str">
        <f>+Indicadores!E32</f>
        <v>PORCENTAJE DE POBLACION ASEGURADA</v>
      </c>
      <c r="F36" s="543" t="str">
        <f>+Indicadores!F32</f>
        <v>Numero de Poblacion Asegurada</v>
      </c>
      <c r="G36" s="201">
        <f>+VLOOKUP($G$3,Data_Numerador!$C$5:$BK$8,30,FALSE)</f>
        <v>0</v>
      </c>
      <c r="H36" s="201">
        <f>+VLOOKUP($G$3,Data_Numerador!$C$5:$BK$8,60,FALSE)</f>
        <v>0</v>
      </c>
      <c r="I36" s="201"/>
      <c r="J36" s="201"/>
      <c r="K36" s="543" t="str">
        <f>+Indicadores!G32</f>
        <v>Numero de Poblacion INEI</v>
      </c>
      <c r="L36" s="201">
        <f>+VLOOKUP($G$3,Data_Denominador!$B$3:$EB$6,123,FALSE)</f>
        <v>11306</v>
      </c>
      <c r="M36" s="201">
        <f>+VLOOKUP($G$3,Data_Denominador!$B$3:$EB$6,124,FALSE)</f>
        <v>11306</v>
      </c>
      <c r="N36" s="201"/>
      <c r="O36" s="201"/>
      <c r="P36" s="374">
        <f t="shared" si="1"/>
        <v>0</v>
      </c>
      <c r="Q36" s="374">
        <f t="shared" si="2"/>
        <v>0</v>
      </c>
      <c r="R36" s="374">
        <f t="shared" si="3"/>
        <v>0</v>
      </c>
      <c r="S36" s="374">
        <f t="shared" si="4"/>
        <v>0</v>
      </c>
      <c r="T36" s="375">
        <f t="shared" si="5"/>
        <v>0</v>
      </c>
      <c r="U36" s="375">
        <f t="shared" si="6"/>
        <v>0</v>
      </c>
      <c r="V36" s="376" t="str">
        <f>IF(P36&gt;=Indicadores!$J32,"Adecuado",IF(P36&lt;Indicadores!$M32,"Deficiente","Regular"))</f>
        <v>Deficiente</v>
      </c>
      <c r="W36" s="376" t="str">
        <f>IF(Q36&gt;=Indicadores!$J32,"Adecuado",IF(Q36&lt;Indicadores!$M32,"Deficiente","Regular"))</f>
        <v>Deficiente</v>
      </c>
      <c r="X36" s="376"/>
      <c r="Y36" s="376"/>
      <c r="Z36" s="376" t="str">
        <f>IF(T36&gt;=Indicadores!$J32,"Adecuado",IF(T36&lt;Indicadores!$M32,"Deficiente","Regular"))</f>
        <v>Deficiente</v>
      </c>
      <c r="AA36" s="376" t="str">
        <f>IF(U36&gt;=Indicadores!$J32,"Adecuado",IF(U36&lt;Indicadores!$M32,"Deficiente","Regular"))</f>
        <v>Deficiente</v>
      </c>
      <c r="AB36" s="528"/>
      <c r="AC36" s="528"/>
      <c r="AD36" s="528"/>
    </row>
    <row r="37" spans="1:30" ht="51.75" customHeight="1">
      <c r="A37" s="690"/>
      <c r="B37" s="688"/>
      <c r="C37" s="692"/>
      <c r="D37" s="541">
        <f>+Indicadores!D33</f>
        <v>30</v>
      </c>
      <c r="E37" s="542" t="str">
        <f>+Indicadores!E33</f>
        <v xml:space="preserve">PORCENTAJE DE FUAS OBSERVADAS </v>
      </c>
      <c r="F37" s="543" t="str">
        <f>+Indicadores!F33</f>
        <v>Numero de FUAs observadas publicadas en la pagina del SIS (MUNDO IPRESS)</v>
      </c>
      <c r="G37" s="201">
        <f>+VLOOKUP($G$3,Data_Numerador!$C$5:$BK$8,31,FALSE)</f>
        <v>0</v>
      </c>
      <c r="H37" s="201">
        <f>+VLOOKUP($G$3,Data_Numerador!$C$5:$BK$8,61,FALSE)</f>
        <v>0</v>
      </c>
      <c r="I37" s="201"/>
      <c r="J37" s="201"/>
      <c r="K37" s="543" t="str">
        <f>+Indicadores!G33</f>
        <v>Numero de FUAs digitadas por Aplicativo (ARFSIS, ARFSIS WEB, SIGEPS)</v>
      </c>
      <c r="L37" s="201">
        <f>+VLOOKUP($G$3,Data_Denominador!$B$3:$EB$6,128,FALSE)</f>
        <v>39741</v>
      </c>
      <c r="M37" s="201">
        <f>+VLOOKUP($G$3,Data_Denominador!$B$3:$EB$6,129,FALSE)</f>
        <v>44629</v>
      </c>
      <c r="N37" s="284"/>
      <c r="O37" s="284"/>
      <c r="P37" s="374">
        <f t="shared" si="1"/>
        <v>0</v>
      </c>
      <c r="Q37" s="374">
        <f t="shared" si="2"/>
        <v>0</v>
      </c>
      <c r="R37" s="374">
        <f t="shared" si="3"/>
        <v>0</v>
      </c>
      <c r="S37" s="374">
        <f t="shared" si="4"/>
        <v>0</v>
      </c>
      <c r="T37" s="375">
        <f t="shared" si="5"/>
        <v>0</v>
      </c>
      <c r="U37" s="375">
        <f t="shared" si="6"/>
        <v>0</v>
      </c>
      <c r="V37" s="376" t="str">
        <f>IF(P37&gt;=Indicadores!$J33,"Adecuado",IF(P37&lt;Indicadores!$M33,"Deficiente","Regular"))</f>
        <v>Deficiente</v>
      </c>
      <c r="W37" s="376" t="str">
        <f>IF(Q37&gt;=Indicadores!$J33,"Adecuado",IF(Q37&lt;Indicadores!$M33,"Deficiente","Regular"))</f>
        <v>Deficiente</v>
      </c>
      <c r="X37" s="376"/>
      <c r="Y37" s="376"/>
      <c r="Z37" s="376" t="str">
        <f>IF(T37&gt;=Indicadores!$J33,"Adecuado",IF(T37&lt;Indicadores!$M33,"Deficiente","Regular"))</f>
        <v>Deficiente</v>
      </c>
      <c r="AA37" s="376" t="str">
        <f>IF(U37&gt;=Indicadores!$J33,"Adecuado",IF(U37&lt;Indicadores!$M33,"Deficiente","Regular"))</f>
        <v>Deficiente</v>
      </c>
      <c r="AB37" s="528"/>
      <c r="AC37" s="528"/>
      <c r="AD37" s="528"/>
    </row>
    <row r="38" spans="1:30" ht="13.9" customHeight="1">
      <c r="A38" s="545"/>
      <c r="B38" s="545"/>
      <c r="C38" s="545"/>
      <c r="D38" s="546"/>
      <c r="E38" s="547"/>
      <c r="F38" s="547"/>
      <c r="G38" s="547"/>
      <c r="H38" s="548"/>
      <c r="I38" s="548"/>
      <c r="J38" s="548"/>
      <c r="K38" s="549"/>
      <c r="L38" s="546"/>
      <c r="M38" s="546"/>
      <c r="N38" s="546"/>
      <c r="O38" s="546"/>
      <c r="P38" s="378"/>
      <c r="Q38" s="378"/>
      <c r="R38" s="378"/>
      <c r="S38" s="378"/>
      <c r="T38" s="378"/>
      <c r="U38" s="379" t="s">
        <v>5</v>
      </c>
      <c r="V38" s="380">
        <f t="shared" ref="V38:AA38" si="7">COUNTIF(V8:V37,"Adecuado")</f>
        <v>4</v>
      </c>
      <c r="W38" s="380">
        <f t="shared" si="7"/>
        <v>4</v>
      </c>
      <c r="X38" s="380">
        <f t="shared" si="7"/>
        <v>0</v>
      </c>
      <c r="Y38" s="380">
        <f t="shared" si="7"/>
        <v>0</v>
      </c>
      <c r="Z38" s="380">
        <f t="shared" si="7"/>
        <v>4</v>
      </c>
      <c r="AA38" s="381">
        <f t="shared" si="7"/>
        <v>4</v>
      </c>
    </row>
    <row r="39" spans="1:30" ht="13.9" customHeight="1">
      <c r="A39" s="545"/>
      <c r="B39" s="545"/>
      <c r="C39" s="545"/>
      <c r="D39" s="551"/>
      <c r="E39" s="547"/>
      <c r="F39" s="547"/>
      <c r="G39" s="547"/>
      <c r="H39" s="552"/>
      <c r="I39" s="552"/>
      <c r="J39" s="552"/>
      <c r="K39" s="552"/>
      <c r="L39" s="546"/>
      <c r="M39" s="546"/>
      <c r="N39" s="546"/>
      <c r="O39" s="546"/>
      <c r="P39" s="382"/>
      <c r="Q39" s="382"/>
      <c r="R39" s="382"/>
      <c r="S39" s="378"/>
      <c r="T39" s="378"/>
      <c r="U39" s="379" t="s">
        <v>538</v>
      </c>
      <c r="V39" s="383">
        <f t="shared" ref="V39:AA39" si="8">COUNTIF(V8:V37,"Regular")</f>
        <v>4</v>
      </c>
      <c r="W39" s="383">
        <f t="shared" si="8"/>
        <v>4</v>
      </c>
      <c r="X39" s="383">
        <f t="shared" si="8"/>
        <v>0</v>
      </c>
      <c r="Y39" s="383">
        <f t="shared" si="8"/>
        <v>0</v>
      </c>
      <c r="Z39" s="383">
        <f t="shared" si="8"/>
        <v>4</v>
      </c>
      <c r="AA39" s="384">
        <f t="shared" si="8"/>
        <v>4</v>
      </c>
    </row>
    <row r="40" spans="1:30" ht="13.9" customHeight="1">
      <c r="A40" s="545"/>
      <c r="B40" s="545"/>
      <c r="C40" s="545"/>
      <c r="D40" s="551"/>
      <c r="E40" s="547"/>
      <c r="F40" s="547"/>
      <c r="G40" s="547"/>
      <c r="H40" s="552"/>
      <c r="I40" s="552"/>
      <c r="J40" s="552"/>
      <c r="K40" s="552"/>
      <c r="L40" s="546"/>
      <c r="M40" s="546"/>
      <c r="N40" s="546"/>
      <c r="O40" s="546"/>
      <c r="P40" s="378"/>
      <c r="Q40" s="378"/>
      <c r="R40" s="378"/>
      <c r="S40" s="378"/>
      <c r="T40" s="378"/>
      <c r="U40" s="379" t="s">
        <v>7</v>
      </c>
      <c r="V40" s="385">
        <f t="shared" ref="V40:AA40" si="9">COUNTIF(V8:V37,"Deficiente")</f>
        <v>22</v>
      </c>
      <c r="W40" s="385">
        <f t="shared" si="9"/>
        <v>22</v>
      </c>
      <c r="X40" s="385">
        <f t="shared" si="9"/>
        <v>0</v>
      </c>
      <c r="Y40" s="385">
        <f t="shared" si="9"/>
        <v>0</v>
      </c>
      <c r="Z40" s="385">
        <f t="shared" si="9"/>
        <v>22</v>
      </c>
      <c r="AA40" s="386">
        <f t="shared" si="9"/>
        <v>22</v>
      </c>
    </row>
    <row r="41" spans="1:30" ht="13.9" customHeight="1">
      <c r="A41" s="545"/>
      <c r="B41" s="545"/>
      <c r="C41" s="545"/>
      <c r="D41" s="546"/>
      <c r="E41" s="547"/>
      <c r="F41" s="547"/>
      <c r="G41" s="547"/>
      <c r="H41" s="548"/>
      <c r="I41" s="548"/>
      <c r="J41" s="548"/>
      <c r="K41" s="549"/>
      <c r="L41" s="546"/>
      <c r="M41" s="546"/>
      <c r="N41" s="546"/>
      <c r="O41" s="546"/>
      <c r="P41" s="378"/>
      <c r="Q41" s="378"/>
      <c r="R41" s="378"/>
      <c r="S41" s="378"/>
      <c r="T41" s="378"/>
      <c r="U41" s="378"/>
      <c r="V41" s="379">
        <f t="shared" ref="V41:AA41" si="10">SUM(V38:V40)</f>
        <v>30</v>
      </c>
      <c r="W41" s="379">
        <f t="shared" si="10"/>
        <v>30</v>
      </c>
      <c r="X41" s="379">
        <f t="shared" si="10"/>
        <v>0</v>
      </c>
      <c r="Y41" s="379">
        <f t="shared" si="10"/>
        <v>0</v>
      </c>
      <c r="Z41" s="379">
        <f t="shared" si="10"/>
        <v>30</v>
      </c>
      <c r="AA41" s="387">
        <f t="shared" si="10"/>
        <v>30</v>
      </c>
    </row>
    <row r="42" spans="1:30" ht="13.9" customHeight="1">
      <c r="A42" s="545"/>
      <c r="B42" s="545"/>
      <c r="C42" s="545"/>
      <c r="D42" s="546"/>
      <c r="E42" s="547"/>
      <c r="F42" s="547"/>
      <c r="G42" s="547"/>
      <c r="H42" s="548"/>
      <c r="I42" s="548"/>
      <c r="J42" s="548"/>
      <c r="K42" s="549"/>
      <c r="L42" s="546"/>
      <c r="M42" s="546"/>
      <c r="N42" s="546"/>
      <c r="O42" s="546"/>
      <c r="P42" s="545"/>
      <c r="Q42" s="545"/>
      <c r="R42" s="545"/>
      <c r="S42" s="545"/>
      <c r="T42" s="545"/>
      <c r="U42" s="545"/>
      <c r="V42" s="545"/>
      <c r="W42" s="545"/>
    </row>
    <row r="43" spans="1:30" ht="13.9" customHeight="1">
      <c r="A43" s="545"/>
      <c r="B43" s="545"/>
      <c r="C43" s="545"/>
      <c r="D43" s="546"/>
      <c r="E43" s="547"/>
      <c r="F43" s="547"/>
      <c r="G43" s="547"/>
      <c r="H43" s="548"/>
      <c r="I43" s="548"/>
      <c r="J43" s="548"/>
      <c r="K43" s="549"/>
      <c r="L43" s="546"/>
      <c r="M43" s="546"/>
      <c r="N43" s="546"/>
      <c r="O43" s="546"/>
      <c r="P43" s="545"/>
      <c r="Q43" s="545"/>
      <c r="R43" s="545"/>
      <c r="S43" s="545"/>
      <c r="T43" s="545"/>
      <c r="U43" s="545"/>
      <c r="V43" s="545"/>
      <c r="W43" s="545"/>
    </row>
    <row r="44" spans="1:30" ht="13.9" customHeight="1">
      <c r="A44" s="545"/>
      <c r="B44" s="545"/>
      <c r="C44" s="545"/>
      <c r="D44" s="546"/>
      <c r="E44" s="547"/>
      <c r="F44" s="547"/>
      <c r="G44" s="547"/>
      <c r="H44" s="548"/>
      <c r="I44" s="548"/>
      <c r="J44" s="548"/>
      <c r="K44" s="549"/>
      <c r="L44" s="546"/>
      <c r="M44" s="546"/>
      <c r="N44" s="546"/>
      <c r="O44" s="546"/>
      <c r="P44" s="545"/>
      <c r="Q44" s="545"/>
      <c r="R44" s="545"/>
      <c r="S44" s="545"/>
      <c r="T44" s="545"/>
      <c r="U44" s="545"/>
      <c r="V44" s="545"/>
      <c r="W44" s="545"/>
    </row>
    <row r="45" spans="1:30" ht="13.9" customHeight="1">
      <c r="A45" s="545"/>
      <c r="B45" s="545"/>
      <c r="C45" s="545"/>
      <c r="D45" s="546"/>
      <c r="E45" s="547"/>
      <c r="F45" s="547"/>
      <c r="G45" s="547"/>
      <c r="H45" s="548"/>
      <c r="I45" s="548"/>
      <c r="J45" s="548"/>
      <c r="K45" s="549"/>
      <c r="L45" s="546"/>
      <c r="M45" s="546"/>
      <c r="N45" s="546"/>
      <c r="O45" s="546"/>
      <c r="P45" s="545"/>
      <c r="Q45" s="545"/>
      <c r="R45" s="545"/>
      <c r="S45" s="545"/>
      <c r="T45" s="545"/>
      <c r="U45" s="545"/>
      <c r="V45" s="545"/>
      <c r="W45" s="545"/>
    </row>
    <row r="46" spans="1:30" ht="13.9" customHeight="1">
      <c r="A46" s="545"/>
      <c r="B46" s="545"/>
      <c r="C46" s="545"/>
      <c r="D46" s="546"/>
      <c r="E46" s="547"/>
      <c r="F46" s="548"/>
      <c r="G46" s="548"/>
      <c r="H46" s="548"/>
      <c r="I46" s="548"/>
      <c r="J46" s="548"/>
      <c r="K46" s="549"/>
      <c r="L46" s="546"/>
      <c r="M46" s="546"/>
      <c r="N46" s="546"/>
      <c r="O46" s="546"/>
      <c r="P46" s="545"/>
      <c r="Q46" s="545"/>
      <c r="R46" s="545"/>
      <c r="S46" s="545"/>
      <c r="T46" s="545"/>
      <c r="U46" s="545"/>
      <c r="V46" s="545"/>
      <c r="W46" s="545"/>
    </row>
    <row r="47" spans="1:30" ht="13.9" customHeight="1">
      <c r="A47" s="545"/>
      <c r="B47" s="545"/>
      <c r="C47" s="545"/>
      <c r="D47" s="546"/>
      <c r="E47" s="547"/>
      <c r="F47" s="548"/>
      <c r="G47" s="548"/>
      <c r="H47" s="548"/>
      <c r="I47" s="548"/>
      <c r="J47" s="548"/>
      <c r="K47" s="549"/>
      <c r="L47" s="546"/>
      <c r="M47" s="546"/>
      <c r="N47" s="546"/>
      <c r="O47" s="546"/>
      <c r="P47" s="545"/>
      <c r="Q47" s="545"/>
      <c r="R47" s="545"/>
      <c r="S47" s="545"/>
      <c r="T47" s="545"/>
      <c r="U47" s="545"/>
      <c r="V47" s="545"/>
      <c r="W47" s="545"/>
    </row>
    <row r="48" spans="1:30" ht="13.9" customHeight="1">
      <c r="A48" s="545"/>
      <c r="B48" s="545"/>
      <c r="C48" s="545"/>
      <c r="D48" s="546"/>
      <c r="E48" s="547"/>
      <c r="F48" s="548"/>
      <c r="G48" s="548"/>
      <c r="H48" s="548"/>
      <c r="I48" s="548"/>
      <c r="J48" s="548"/>
      <c r="K48" s="549"/>
      <c r="L48" s="546"/>
      <c r="M48" s="546"/>
      <c r="N48" s="546"/>
      <c r="O48" s="546"/>
      <c r="P48" s="545"/>
      <c r="Q48" s="545"/>
      <c r="R48" s="545"/>
      <c r="S48" s="545"/>
      <c r="T48" s="545"/>
      <c r="U48" s="545"/>
      <c r="V48" s="545"/>
      <c r="W48" s="545"/>
    </row>
    <row r="49" spans="1:171" ht="13.9" customHeight="1">
      <c r="A49" s="545"/>
      <c r="B49" s="545"/>
      <c r="C49" s="545"/>
      <c r="D49" s="546"/>
      <c r="E49" s="547"/>
      <c r="F49" s="548"/>
      <c r="G49" s="548"/>
      <c r="H49" s="548"/>
      <c r="I49" s="548"/>
      <c r="J49" s="548"/>
      <c r="K49" s="549"/>
      <c r="L49" s="546"/>
      <c r="M49" s="546"/>
      <c r="N49" s="546"/>
      <c r="O49" s="546"/>
      <c r="P49" s="545"/>
      <c r="Q49" s="545"/>
      <c r="R49" s="545"/>
      <c r="S49" s="545"/>
      <c r="T49" s="545"/>
      <c r="U49" s="545"/>
      <c r="V49" s="545"/>
      <c r="W49" s="545"/>
    </row>
    <row r="50" spans="1:171" s="562" customFormat="1" ht="23.25">
      <c r="A50" s="555"/>
      <c r="B50" s="555"/>
      <c r="C50" s="555"/>
      <c r="D50" s="556"/>
      <c r="E50" s="547"/>
      <c r="F50" s="548"/>
      <c r="G50" s="548"/>
      <c r="H50" s="548"/>
      <c r="I50" s="548" t="s">
        <v>309</v>
      </c>
      <c r="J50" s="548" t="s">
        <v>310</v>
      </c>
      <c r="K50" s="549"/>
      <c r="L50" s="556"/>
      <c r="M50" s="556"/>
      <c r="N50" s="556"/>
      <c r="O50" s="556"/>
      <c r="P50" s="555"/>
      <c r="Q50" s="555"/>
      <c r="R50" s="555"/>
      <c r="S50" s="555"/>
      <c r="T50" s="555"/>
      <c r="U50" s="555"/>
      <c r="V50" s="555"/>
      <c r="W50" s="555"/>
      <c r="X50" s="557"/>
      <c r="Y50" s="557"/>
      <c r="Z50" s="557"/>
      <c r="AA50" s="558"/>
      <c r="AB50" s="559"/>
      <c r="AC50" s="559"/>
      <c r="AD50" s="559"/>
      <c r="AE50" s="307"/>
      <c r="AF50" s="307"/>
      <c r="AG50" s="307"/>
      <c r="AH50" s="307"/>
      <c r="AI50" s="307"/>
      <c r="AJ50" s="307"/>
      <c r="AK50" s="307"/>
      <c r="AL50" s="307"/>
      <c r="AM50" s="307"/>
      <c r="AN50" s="307"/>
      <c r="AO50" s="307"/>
      <c r="AP50" s="307"/>
      <c r="AQ50" s="307"/>
      <c r="AR50" s="307"/>
      <c r="AS50" s="307"/>
      <c r="AT50" s="307"/>
      <c r="AU50" s="307"/>
      <c r="AV50" s="307"/>
      <c r="AW50" s="307"/>
      <c r="AX50" s="307"/>
      <c r="AY50" s="307"/>
      <c r="AZ50" s="307"/>
      <c r="BA50" s="307"/>
      <c r="BB50" s="307"/>
      <c r="BC50" s="307"/>
      <c r="BD50" s="307"/>
      <c r="BE50" s="307"/>
      <c r="BF50" s="307"/>
      <c r="BG50" s="307"/>
      <c r="BH50" s="307"/>
      <c r="BI50" s="307"/>
      <c r="BJ50" s="307"/>
      <c r="BK50" s="307"/>
      <c r="BL50" s="307"/>
      <c r="BM50" s="307"/>
      <c r="BN50" s="307"/>
      <c r="BO50" s="307"/>
      <c r="BP50" s="307"/>
      <c r="BQ50" s="307"/>
      <c r="BR50" s="307"/>
      <c r="BS50" s="307"/>
      <c r="BT50" s="307"/>
      <c r="BU50" s="307"/>
      <c r="BV50" s="307"/>
      <c r="BW50" s="307"/>
      <c r="BX50" s="307"/>
      <c r="BY50" s="307"/>
      <c r="BZ50" s="307"/>
      <c r="CA50" s="307"/>
      <c r="CB50" s="307"/>
      <c r="CC50" s="307"/>
      <c r="CD50" s="307"/>
      <c r="CE50" s="307"/>
      <c r="CF50" s="307"/>
      <c r="CG50" s="307"/>
      <c r="CH50" s="307"/>
      <c r="CI50" s="307"/>
      <c r="CJ50" s="307"/>
      <c r="CK50" s="307"/>
      <c r="CL50" s="307"/>
      <c r="CM50" s="307"/>
      <c r="CN50" s="307"/>
      <c r="CO50" s="307"/>
      <c r="CP50" s="307"/>
      <c r="CQ50" s="307"/>
      <c r="CR50" s="307"/>
      <c r="CS50" s="307"/>
      <c r="CT50" s="307"/>
      <c r="CU50" s="307"/>
      <c r="CV50" s="307"/>
      <c r="CW50" s="307"/>
      <c r="CX50" s="307"/>
      <c r="CY50" s="307"/>
      <c r="CZ50" s="307"/>
      <c r="DA50" s="307"/>
      <c r="DB50" s="280"/>
      <c r="DC50" s="280"/>
      <c r="DD50" s="280"/>
      <c r="DE50" s="280"/>
      <c r="DF50" s="280"/>
      <c r="DG50" s="280"/>
      <c r="DH50" s="280"/>
      <c r="DI50" s="280"/>
      <c r="DJ50" s="280"/>
      <c r="DK50" s="280"/>
      <c r="DL50" s="280"/>
      <c r="DM50" s="280"/>
      <c r="DN50" s="280"/>
      <c r="DO50" s="280"/>
      <c r="DP50" s="280"/>
      <c r="DQ50" s="280"/>
      <c r="DR50" s="280"/>
      <c r="DS50" s="280"/>
      <c r="DT50" s="280"/>
      <c r="DU50" s="280"/>
      <c r="DV50" s="280"/>
      <c r="DW50" s="280"/>
      <c r="DX50" s="280"/>
      <c r="DY50" s="280"/>
      <c r="DZ50" s="280"/>
      <c r="EA50" s="280"/>
      <c r="EB50" s="280"/>
      <c r="EC50" s="280"/>
      <c r="ED50" s="280"/>
      <c r="EE50" s="280"/>
      <c r="EF50" s="280"/>
      <c r="EG50" s="280"/>
      <c r="EH50" s="280"/>
      <c r="EI50" s="280"/>
      <c r="EJ50" s="280"/>
      <c r="EK50" s="280"/>
      <c r="EL50" s="280"/>
      <c r="EM50" s="280"/>
      <c r="EN50" s="280"/>
      <c r="EO50" s="280"/>
      <c r="EP50" s="560"/>
      <c r="EQ50" s="560"/>
      <c r="ER50" s="560"/>
      <c r="ES50" s="560"/>
      <c r="ET50" s="560"/>
      <c r="EU50" s="560"/>
      <c r="EV50" s="560"/>
      <c r="EW50" s="560"/>
      <c r="EX50" s="560"/>
      <c r="EY50" s="560"/>
      <c r="EZ50" s="560"/>
      <c r="FA50" s="560"/>
      <c r="FB50" s="560"/>
      <c r="FC50" s="560"/>
      <c r="FD50" s="560"/>
      <c r="FE50" s="560"/>
      <c r="FF50" s="560"/>
      <c r="FG50" s="560"/>
      <c r="FH50" s="561"/>
      <c r="FI50" s="561"/>
      <c r="FJ50" s="561"/>
      <c r="FK50" s="561"/>
      <c r="FL50" s="561"/>
      <c r="FM50" s="561"/>
      <c r="FN50" s="561"/>
      <c r="FO50" s="561"/>
    </row>
    <row r="51" spans="1:171" ht="13.9" customHeight="1">
      <c r="A51" s="545"/>
      <c r="B51" s="545"/>
      <c r="C51" s="545"/>
      <c r="D51" s="546"/>
      <c r="E51" s="547"/>
      <c r="F51" s="548"/>
      <c r="G51" s="548"/>
      <c r="H51" s="548"/>
      <c r="I51" s="548"/>
      <c r="J51" s="548"/>
      <c r="K51" s="549"/>
      <c r="L51" s="546"/>
      <c r="M51" s="546"/>
      <c r="N51" s="546"/>
      <c r="O51" s="546"/>
      <c r="P51" s="545"/>
      <c r="Q51" s="545"/>
      <c r="R51" s="545"/>
      <c r="S51" s="545"/>
      <c r="T51" s="545"/>
      <c r="U51" s="545"/>
      <c r="V51" s="545"/>
      <c r="W51" s="545"/>
    </row>
    <row r="52" spans="1:171" s="562" customFormat="1" ht="23.25">
      <c r="A52" s="555"/>
      <c r="B52" s="555"/>
      <c r="C52" s="555"/>
      <c r="D52" s="556"/>
      <c r="E52" s="547"/>
      <c r="F52" s="548"/>
      <c r="G52" s="548"/>
      <c r="H52" s="548"/>
      <c r="I52" s="548" t="s">
        <v>311</v>
      </c>
      <c r="J52" s="548" t="s">
        <v>310</v>
      </c>
      <c r="K52" s="563">
        <v>0</v>
      </c>
      <c r="L52" s="564">
        <v>0.9</v>
      </c>
      <c r="M52" s="556"/>
      <c r="N52" s="556"/>
      <c r="O52" s="556"/>
      <c r="P52" s="555"/>
      <c r="Q52" s="555"/>
      <c r="R52" s="555"/>
      <c r="S52" s="555"/>
      <c r="T52" s="555"/>
      <c r="U52" s="555"/>
      <c r="V52" s="555"/>
      <c r="W52" s="555"/>
      <c r="X52" s="557"/>
      <c r="Y52" s="557"/>
      <c r="Z52" s="557"/>
      <c r="AA52" s="558"/>
      <c r="AB52" s="559"/>
      <c r="AC52" s="559"/>
      <c r="AD52" s="559"/>
      <c r="AE52" s="307"/>
      <c r="AF52" s="307"/>
      <c r="AG52" s="307"/>
      <c r="AH52" s="307"/>
      <c r="AI52" s="307"/>
      <c r="AJ52" s="307"/>
      <c r="AK52" s="307"/>
      <c r="AL52" s="307"/>
      <c r="AM52" s="307"/>
      <c r="AN52" s="307"/>
      <c r="AO52" s="307"/>
      <c r="AP52" s="307"/>
      <c r="AQ52" s="307"/>
      <c r="AR52" s="307"/>
      <c r="AS52" s="307"/>
      <c r="AT52" s="307"/>
      <c r="AU52" s="307"/>
      <c r="AV52" s="307"/>
      <c r="AW52" s="307"/>
      <c r="AX52" s="307"/>
      <c r="AY52" s="307"/>
      <c r="AZ52" s="307"/>
      <c r="BA52" s="307"/>
      <c r="BB52" s="307"/>
      <c r="BC52" s="307"/>
      <c r="BD52" s="307"/>
      <c r="BE52" s="307"/>
      <c r="BF52" s="307"/>
      <c r="BG52" s="307"/>
      <c r="BH52" s="307"/>
      <c r="BI52" s="307"/>
      <c r="BJ52" s="307"/>
      <c r="BK52" s="307"/>
      <c r="BL52" s="307"/>
      <c r="BM52" s="307"/>
      <c r="BN52" s="307"/>
      <c r="BO52" s="307"/>
      <c r="BP52" s="307"/>
      <c r="BQ52" s="307"/>
      <c r="BR52" s="307"/>
      <c r="BS52" s="307"/>
      <c r="BT52" s="307"/>
      <c r="BU52" s="307"/>
      <c r="BV52" s="307"/>
      <c r="BW52" s="307"/>
      <c r="BX52" s="307"/>
      <c r="BY52" s="307"/>
      <c r="BZ52" s="307"/>
      <c r="CA52" s="307"/>
      <c r="CB52" s="307"/>
      <c r="CC52" s="307"/>
      <c r="CD52" s="307"/>
      <c r="CE52" s="307"/>
      <c r="CF52" s="307"/>
      <c r="CG52" s="307"/>
      <c r="CH52" s="307"/>
      <c r="CI52" s="307"/>
      <c r="CJ52" s="307"/>
      <c r="CK52" s="307"/>
      <c r="CL52" s="307"/>
      <c r="CM52" s="307"/>
      <c r="CN52" s="307"/>
      <c r="CO52" s="307"/>
      <c r="CP52" s="307"/>
      <c r="CQ52" s="307"/>
      <c r="CR52" s="307"/>
      <c r="CS52" s="307"/>
      <c r="CT52" s="307"/>
      <c r="CU52" s="307"/>
      <c r="CV52" s="307"/>
      <c r="CW52" s="307"/>
      <c r="CX52" s="307"/>
      <c r="CY52" s="307"/>
      <c r="CZ52" s="307"/>
      <c r="DA52" s="307"/>
      <c r="DB52" s="280"/>
      <c r="DC52" s="280"/>
      <c r="DD52" s="280"/>
      <c r="DE52" s="280"/>
      <c r="DF52" s="280"/>
      <c r="DG52" s="280"/>
      <c r="DH52" s="280"/>
      <c r="DI52" s="280"/>
      <c r="DJ52" s="280"/>
      <c r="DK52" s="280"/>
      <c r="DL52" s="280"/>
      <c r="DM52" s="280"/>
      <c r="DN52" s="280"/>
      <c r="DO52" s="280"/>
      <c r="DP52" s="280"/>
      <c r="DQ52" s="280"/>
      <c r="DR52" s="280"/>
      <c r="DS52" s="280"/>
      <c r="DT52" s="280"/>
      <c r="DU52" s="280"/>
      <c r="DV52" s="280"/>
      <c r="DW52" s="280"/>
      <c r="DX52" s="280"/>
      <c r="DY52" s="280"/>
      <c r="DZ52" s="280"/>
      <c r="EA52" s="280"/>
      <c r="EB52" s="280"/>
      <c r="EC52" s="280"/>
      <c r="ED52" s="280"/>
      <c r="EE52" s="280"/>
      <c r="EF52" s="280"/>
      <c r="EG52" s="280"/>
      <c r="EH52" s="280"/>
      <c r="EI52" s="280"/>
      <c r="EJ52" s="280"/>
      <c r="EK52" s="280"/>
      <c r="EL52" s="280"/>
      <c r="EM52" s="280"/>
      <c r="EN52" s="280"/>
      <c r="EO52" s="280"/>
      <c r="EP52" s="560"/>
      <c r="EQ52" s="560"/>
      <c r="ER52" s="560"/>
      <c r="ES52" s="560"/>
      <c r="ET52" s="560"/>
      <c r="EU52" s="560"/>
      <c r="EV52" s="560"/>
      <c r="EW52" s="560"/>
      <c r="EX52" s="560"/>
      <c r="EY52" s="560"/>
      <c r="EZ52" s="560"/>
      <c r="FA52" s="560"/>
      <c r="FB52" s="560"/>
      <c r="FC52" s="560"/>
      <c r="FD52" s="560"/>
      <c r="FE52" s="560"/>
      <c r="FF52" s="560"/>
      <c r="FG52" s="560"/>
      <c r="FH52" s="561"/>
      <c r="FI52" s="561"/>
      <c r="FJ52" s="561"/>
      <c r="FK52" s="561"/>
      <c r="FL52" s="561"/>
      <c r="FM52" s="561"/>
      <c r="FN52" s="561"/>
      <c r="FO52" s="561"/>
    </row>
    <row r="53" spans="1:171" ht="13.9" customHeight="1">
      <c r="A53" s="545"/>
      <c r="B53" s="545"/>
      <c r="C53" s="545"/>
      <c r="D53" s="546"/>
      <c r="E53" s="547"/>
      <c r="F53" s="548"/>
      <c r="G53" s="548"/>
      <c r="H53" s="548"/>
      <c r="I53" s="548"/>
      <c r="J53" s="548"/>
      <c r="K53" s="563"/>
      <c r="L53" s="565"/>
      <c r="M53" s="546"/>
      <c r="N53" s="546"/>
      <c r="O53" s="546"/>
      <c r="P53" s="545"/>
      <c r="Q53" s="545"/>
      <c r="R53" s="545"/>
      <c r="S53" s="545"/>
      <c r="T53" s="545"/>
      <c r="U53" s="545"/>
      <c r="V53" s="545"/>
      <c r="W53" s="545"/>
    </row>
    <row r="54" spans="1:171" s="562" customFormat="1" ht="23.25">
      <c r="A54" s="555"/>
      <c r="B54" s="555"/>
      <c r="C54" s="555"/>
      <c r="D54" s="556"/>
      <c r="E54" s="547"/>
      <c r="F54" s="548"/>
      <c r="G54" s="548"/>
      <c r="H54" s="548"/>
      <c r="I54" s="548" t="s">
        <v>309</v>
      </c>
      <c r="J54" s="548" t="s">
        <v>312</v>
      </c>
      <c r="K54" s="563">
        <v>3</v>
      </c>
      <c r="L54" s="564"/>
      <c r="M54" s="556"/>
      <c r="N54" s="556"/>
      <c r="O54" s="556"/>
      <c r="P54" s="555"/>
      <c r="Q54" s="555"/>
      <c r="R54" s="555"/>
      <c r="S54" s="555"/>
      <c r="T54" s="555"/>
      <c r="U54" s="555"/>
      <c r="V54" s="555"/>
      <c r="W54" s="555"/>
      <c r="X54" s="557"/>
      <c r="Y54" s="557"/>
      <c r="Z54" s="557"/>
      <c r="AA54" s="558"/>
      <c r="AB54" s="559"/>
      <c r="AC54" s="559"/>
      <c r="AD54" s="559"/>
      <c r="AE54" s="307"/>
      <c r="AF54" s="307"/>
      <c r="AG54" s="307"/>
      <c r="AH54" s="307"/>
      <c r="AI54" s="307"/>
      <c r="AJ54" s="307"/>
      <c r="AK54" s="307"/>
      <c r="AL54" s="307"/>
      <c r="AM54" s="307"/>
      <c r="AN54" s="307"/>
      <c r="AO54" s="307"/>
      <c r="AP54" s="307"/>
      <c r="AQ54" s="307"/>
      <c r="AR54" s="307"/>
      <c r="AS54" s="307"/>
      <c r="AT54" s="307"/>
      <c r="AU54" s="307"/>
      <c r="AV54" s="307"/>
      <c r="AW54" s="307"/>
      <c r="AX54" s="307"/>
      <c r="AY54" s="307"/>
      <c r="AZ54" s="307"/>
      <c r="BA54" s="307"/>
      <c r="BB54" s="307"/>
      <c r="BC54" s="307"/>
      <c r="BD54" s="307"/>
      <c r="BE54" s="307"/>
      <c r="BF54" s="307"/>
      <c r="BG54" s="307"/>
      <c r="BH54" s="307"/>
      <c r="BI54" s="307"/>
      <c r="BJ54" s="307"/>
      <c r="BK54" s="307"/>
      <c r="BL54" s="307"/>
      <c r="BM54" s="307"/>
      <c r="BN54" s="307"/>
      <c r="BO54" s="307"/>
      <c r="BP54" s="307"/>
      <c r="BQ54" s="307"/>
      <c r="BR54" s="307"/>
      <c r="BS54" s="307"/>
      <c r="BT54" s="307"/>
      <c r="BU54" s="307"/>
      <c r="BV54" s="307"/>
      <c r="BW54" s="307"/>
      <c r="BX54" s="307"/>
      <c r="BY54" s="307"/>
      <c r="BZ54" s="307"/>
      <c r="CA54" s="307"/>
      <c r="CB54" s="307"/>
      <c r="CC54" s="307"/>
      <c r="CD54" s="307"/>
      <c r="CE54" s="307"/>
      <c r="CF54" s="307"/>
      <c r="CG54" s="307"/>
      <c r="CH54" s="307"/>
      <c r="CI54" s="307"/>
      <c r="CJ54" s="307"/>
      <c r="CK54" s="307"/>
      <c r="CL54" s="307"/>
      <c r="CM54" s="307"/>
      <c r="CN54" s="307"/>
      <c r="CO54" s="307"/>
      <c r="CP54" s="307"/>
      <c r="CQ54" s="307"/>
      <c r="CR54" s="307"/>
      <c r="CS54" s="307"/>
      <c r="CT54" s="307"/>
      <c r="CU54" s="307"/>
      <c r="CV54" s="307"/>
      <c r="CW54" s="307"/>
      <c r="CX54" s="307"/>
      <c r="CY54" s="307"/>
      <c r="CZ54" s="307"/>
      <c r="DA54" s="307"/>
      <c r="DB54" s="280"/>
      <c r="DC54" s="280"/>
      <c r="DD54" s="280"/>
      <c r="DE54" s="280"/>
      <c r="DF54" s="280"/>
      <c r="DG54" s="280"/>
      <c r="DH54" s="280"/>
      <c r="DI54" s="280"/>
      <c r="DJ54" s="280"/>
      <c r="DK54" s="280"/>
      <c r="DL54" s="280"/>
      <c r="DM54" s="280"/>
      <c r="DN54" s="280"/>
      <c r="DO54" s="280"/>
      <c r="DP54" s="280"/>
      <c r="DQ54" s="280"/>
      <c r="DR54" s="280"/>
      <c r="DS54" s="280"/>
      <c r="DT54" s="280"/>
      <c r="DU54" s="280"/>
      <c r="DV54" s="280"/>
      <c r="DW54" s="280"/>
      <c r="DX54" s="280"/>
      <c r="DY54" s="280"/>
      <c r="DZ54" s="280"/>
      <c r="EA54" s="280"/>
      <c r="EB54" s="280"/>
      <c r="EC54" s="280"/>
      <c r="ED54" s="280"/>
      <c r="EE54" s="280"/>
      <c r="EF54" s="280"/>
      <c r="EG54" s="280"/>
      <c r="EH54" s="280"/>
      <c r="EI54" s="280"/>
      <c r="EJ54" s="280"/>
      <c r="EK54" s="280"/>
      <c r="EL54" s="280"/>
      <c r="EM54" s="280"/>
      <c r="EN54" s="280"/>
      <c r="EO54" s="280"/>
      <c r="EP54" s="560"/>
      <c r="EQ54" s="560"/>
      <c r="ER54" s="560"/>
      <c r="ES54" s="560"/>
      <c r="ET54" s="560"/>
      <c r="EU54" s="560"/>
      <c r="EV54" s="560"/>
      <c r="EW54" s="560"/>
      <c r="EX54" s="560"/>
      <c r="EY54" s="560"/>
      <c r="EZ54" s="560"/>
      <c r="FA54" s="560"/>
      <c r="FB54" s="560"/>
      <c r="FC54" s="560"/>
      <c r="FD54" s="560"/>
      <c r="FE54" s="560"/>
      <c r="FF54" s="560"/>
      <c r="FG54" s="560"/>
      <c r="FH54" s="561"/>
      <c r="FI54" s="561"/>
      <c r="FJ54" s="561"/>
      <c r="FK54" s="561"/>
      <c r="FL54" s="561"/>
      <c r="FM54" s="561"/>
      <c r="FN54" s="561"/>
      <c r="FO54" s="561"/>
    </row>
    <row r="55" spans="1:171" ht="13.9" customHeight="1">
      <c r="A55" s="545"/>
      <c r="B55" s="545"/>
      <c r="C55" s="545"/>
      <c r="D55" s="546"/>
      <c r="E55" s="547"/>
      <c r="F55" s="548"/>
      <c r="G55" s="548"/>
      <c r="H55" s="548"/>
      <c r="I55" s="548"/>
      <c r="J55" s="548"/>
      <c r="K55" s="549"/>
      <c r="L55" s="546"/>
      <c r="M55" s="546"/>
      <c r="N55" s="546"/>
      <c r="O55" s="546"/>
      <c r="P55" s="545"/>
      <c r="Q55" s="545"/>
      <c r="R55" s="545"/>
      <c r="S55" s="545"/>
      <c r="T55" s="545"/>
      <c r="U55" s="545"/>
      <c r="V55" s="545"/>
      <c r="W55" s="545"/>
    </row>
    <row r="56" spans="1:171" s="562" customFormat="1" ht="23.25">
      <c r="A56" s="555"/>
      <c r="B56" s="555"/>
      <c r="C56" s="555"/>
      <c r="D56" s="556"/>
      <c r="E56" s="547"/>
      <c r="F56" s="548"/>
      <c r="G56" s="548"/>
      <c r="H56" s="548"/>
      <c r="I56" s="548"/>
      <c r="J56" s="548" t="s">
        <v>313</v>
      </c>
      <c r="K56" s="563">
        <v>1.1000000000000001</v>
      </c>
      <c r="L56" s="564">
        <v>1.9</v>
      </c>
      <c r="M56" s="556"/>
      <c r="N56" s="556"/>
      <c r="O56" s="556"/>
      <c r="P56" s="555"/>
      <c r="Q56" s="555"/>
      <c r="R56" s="555"/>
      <c r="S56" s="555"/>
      <c r="T56" s="555"/>
      <c r="U56" s="555"/>
      <c r="V56" s="555"/>
      <c r="W56" s="555"/>
      <c r="X56" s="557"/>
      <c r="Y56" s="557"/>
      <c r="Z56" s="557"/>
      <c r="AA56" s="558"/>
      <c r="AB56" s="559"/>
      <c r="AC56" s="559"/>
      <c r="AD56" s="559"/>
      <c r="AE56" s="307"/>
      <c r="AF56" s="307"/>
      <c r="AG56" s="307"/>
      <c r="AH56" s="307"/>
      <c r="AI56" s="307"/>
      <c r="AJ56" s="307"/>
      <c r="AK56" s="307"/>
      <c r="AL56" s="307"/>
      <c r="AM56" s="307"/>
      <c r="AN56" s="307"/>
      <c r="AO56" s="307"/>
      <c r="AP56" s="307"/>
      <c r="AQ56" s="307"/>
      <c r="AR56" s="307"/>
      <c r="AS56" s="307"/>
      <c r="AT56" s="307"/>
      <c r="AU56" s="307"/>
      <c r="AV56" s="307"/>
      <c r="AW56" s="307"/>
      <c r="AX56" s="307"/>
      <c r="AY56" s="307"/>
      <c r="AZ56" s="307"/>
      <c r="BA56" s="307"/>
      <c r="BB56" s="307"/>
      <c r="BC56" s="307"/>
      <c r="BD56" s="307"/>
      <c r="BE56" s="307"/>
      <c r="BF56" s="307"/>
      <c r="BG56" s="307"/>
      <c r="BH56" s="307"/>
      <c r="BI56" s="307"/>
      <c r="BJ56" s="307"/>
      <c r="BK56" s="307"/>
      <c r="BL56" s="307"/>
      <c r="BM56" s="307"/>
      <c r="BN56" s="307"/>
      <c r="BO56" s="307"/>
      <c r="BP56" s="307"/>
      <c r="BQ56" s="307"/>
      <c r="BR56" s="307"/>
      <c r="BS56" s="307"/>
      <c r="BT56" s="307"/>
      <c r="BU56" s="307"/>
      <c r="BV56" s="307"/>
      <c r="BW56" s="307"/>
      <c r="BX56" s="307"/>
      <c r="BY56" s="307"/>
      <c r="BZ56" s="307"/>
      <c r="CA56" s="307"/>
      <c r="CB56" s="307"/>
      <c r="CC56" s="307"/>
      <c r="CD56" s="307"/>
      <c r="CE56" s="307"/>
      <c r="CF56" s="307"/>
      <c r="CG56" s="307"/>
      <c r="CH56" s="307"/>
      <c r="CI56" s="307"/>
      <c r="CJ56" s="307"/>
      <c r="CK56" s="307"/>
      <c r="CL56" s="307"/>
      <c r="CM56" s="307"/>
      <c r="CN56" s="307"/>
      <c r="CO56" s="307"/>
      <c r="CP56" s="307"/>
      <c r="CQ56" s="307"/>
      <c r="CR56" s="307"/>
      <c r="CS56" s="307"/>
      <c r="CT56" s="307"/>
      <c r="CU56" s="307"/>
      <c r="CV56" s="307"/>
      <c r="CW56" s="307"/>
      <c r="CX56" s="307"/>
      <c r="CY56" s="307"/>
      <c r="CZ56" s="307"/>
      <c r="DA56" s="307"/>
      <c r="DB56" s="280"/>
      <c r="DC56" s="280"/>
      <c r="DD56" s="280"/>
      <c r="DE56" s="280"/>
      <c r="DF56" s="280"/>
      <c r="DG56" s="280"/>
      <c r="DH56" s="280"/>
      <c r="DI56" s="280"/>
      <c r="DJ56" s="280"/>
      <c r="DK56" s="280"/>
      <c r="DL56" s="280"/>
      <c r="DM56" s="280"/>
      <c r="DN56" s="280"/>
      <c r="DO56" s="280"/>
      <c r="DP56" s="280"/>
      <c r="DQ56" s="280"/>
      <c r="DR56" s="280"/>
      <c r="DS56" s="280"/>
      <c r="DT56" s="280"/>
      <c r="DU56" s="280"/>
      <c r="DV56" s="280"/>
      <c r="DW56" s="280"/>
      <c r="DX56" s="280"/>
      <c r="DY56" s="280"/>
      <c r="DZ56" s="280"/>
      <c r="EA56" s="280"/>
      <c r="EB56" s="280"/>
      <c r="EC56" s="280"/>
      <c r="ED56" s="280"/>
      <c r="EE56" s="280"/>
      <c r="EF56" s="280"/>
      <c r="EG56" s="280"/>
      <c r="EH56" s="280"/>
      <c r="EI56" s="280"/>
      <c r="EJ56" s="280"/>
      <c r="EK56" s="280"/>
      <c r="EL56" s="280"/>
      <c r="EM56" s="280"/>
      <c r="EN56" s="280"/>
      <c r="EO56" s="280"/>
      <c r="EP56" s="560"/>
      <c r="EQ56" s="560"/>
      <c r="ER56" s="560"/>
      <c r="ES56" s="560"/>
      <c r="ET56" s="560"/>
      <c r="EU56" s="560"/>
      <c r="EV56" s="560"/>
      <c r="EW56" s="560"/>
      <c r="EX56" s="560"/>
      <c r="EY56" s="560"/>
      <c r="EZ56" s="560"/>
      <c r="FA56" s="560"/>
      <c r="FB56" s="560"/>
      <c r="FC56" s="560"/>
      <c r="FD56" s="560"/>
      <c r="FE56" s="560"/>
      <c r="FF56" s="560"/>
      <c r="FG56" s="560"/>
      <c r="FH56" s="561"/>
      <c r="FI56" s="561"/>
      <c r="FJ56" s="561"/>
      <c r="FK56" s="561"/>
      <c r="FL56" s="561"/>
      <c r="FM56" s="561"/>
      <c r="FN56" s="561"/>
      <c r="FO56" s="561"/>
    </row>
    <row r="57" spans="1:171" ht="13.9" customHeight="1">
      <c r="A57" s="545"/>
      <c r="B57" s="545"/>
      <c r="C57" s="545"/>
      <c r="D57" s="546"/>
      <c r="E57" s="547"/>
      <c r="F57" s="548"/>
      <c r="G57" s="548"/>
      <c r="H57" s="548"/>
      <c r="I57" s="548"/>
      <c r="J57" s="548"/>
      <c r="K57" s="549"/>
      <c r="L57" s="546"/>
      <c r="M57" s="546"/>
      <c r="N57" s="546"/>
      <c r="O57" s="546"/>
      <c r="P57" s="545"/>
      <c r="Q57" s="545"/>
      <c r="R57" s="545"/>
      <c r="S57" s="545"/>
      <c r="T57" s="545"/>
      <c r="U57" s="545"/>
      <c r="V57" s="545"/>
      <c r="W57" s="545"/>
    </row>
    <row r="58" spans="1:171" ht="13.9" customHeight="1">
      <c r="A58" s="545"/>
      <c r="B58" s="545"/>
      <c r="C58" s="545"/>
      <c r="D58" s="546"/>
      <c r="E58" s="547"/>
      <c r="F58" s="548"/>
      <c r="G58" s="548"/>
      <c r="H58" s="548"/>
      <c r="I58" s="548"/>
      <c r="J58" s="548"/>
      <c r="K58" s="549"/>
      <c r="L58" s="546"/>
      <c r="M58" s="546"/>
      <c r="N58" s="546"/>
      <c r="O58" s="546"/>
      <c r="P58" s="545"/>
      <c r="Q58" s="545"/>
      <c r="R58" s="545"/>
      <c r="S58" s="545"/>
      <c r="T58" s="545"/>
      <c r="U58" s="545"/>
      <c r="V58" s="545"/>
      <c r="W58" s="545"/>
    </row>
    <row r="59" spans="1:171" ht="13.9" customHeight="1">
      <c r="A59" s="545"/>
      <c r="B59" s="545"/>
      <c r="C59" s="545"/>
      <c r="D59" s="546"/>
      <c r="E59" s="547"/>
      <c r="F59" s="548"/>
      <c r="G59" s="548"/>
      <c r="H59" s="548"/>
      <c r="I59" s="548"/>
      <c r="J59" s="548"/>
      <c r="K59" s="549"/>
      <c r="L59" s="546"/>
      <c r="M59" s="546"/>
      <c r="N59" s="546"/>
      <c r="O59" s="546"/>
      <c r="P59" s="545"/>
      <c r="Q59" s="545"/>
      <c r="R59" s="545"/>
      <c r="S59" s="545"/>
      <c r="T59" s="545"/>
      <c r="U59" s="545"/>
      <c r="V59" s="545"/>
      <c r="W59" s="545"/>
    </row>
    <row r="60" spans="1:171" ht="13.9" customHeight="1">
      <c r="A60" s="545"/>
      <c r="B60" s="545"/>
      <c r="C60" s="545"/>
      <c r="D60" s="546"/>
      <c r="E60" s="547"/>
      <c r="F60" s="548"/>
      <c r="G60" s="548"/>
      <c r="H60" s="548"/>
      <c r="I60" s="548"/>
      <c r="J60" s="548"/>
      <c r="K60" s="549"/>
      <c r="L60" s="546"/>
      <c r="M60" s="546"/>
      <c r="N60" s="546"/>
      <c r="O60" s="546"/>
      <c r="P60" s="545"/>
      <c r="Q60" s="545"/>
      <c r="R60" s="545"/>
      <c r="S60" s="545"/>
      <c r="T60" s="545"/>
      <c r="U60" s="545"/>
      <c r="V60" s="545"/>
      <c r="W60" s="545"/>
    </row>
    <row r="61" spans="1:171" ht="13.9" customHeight="1">
      <c r="A61" s="545"/>
      <c r="B61" s="545"/>
      <c r="C61" s="545"/>
      <c r="D61" s="546"/>
      <c r="E61" s="547"/>
      <c r="F61" s="548"/>
      <c r="G61" s="548"/>
      <c r="H61" s="548"/>
      <c r="I61" s="548"/>
      <c r="J61" s="548"/>
      <c r="K61" s="549"/>
      <c r="L61" s="546"/>
      <c r="M61" s="546"/>
      <c r="N61" s="546"/>
      <c r="O61" s="546"/>
      <c r="P61" s="545"/>
      <c r="Q61" s="545"/>
      <c r="R61" s="545"/>
      <c r="S61" s="545"/>
      <c r="T61" s="545"/>
      <c r="U61" s="545"/>
      <c r="V61" s="545"/>
      <c r="W61" s="545"/>
    </row>
    <row r="62" spans="1:171" ht="13.9" customHeight="1">
      <c r="A62" s="545"/>
      <c r="B62" s="545"/>
      <c r="C62" s="545"/>
      <c r="D62" s="546"/>
      <c r="E62" s="547"/>
      <c r="F62" s="548"/>
      <c r="G62" s="548"/>
      <c r="H62" s="548"/>
      <c r="I62" s="548"/>
      <c r="J62" s="548"/>
      <c r="K62" s="549"/>
      <c r="L62" s="546"/>
      <c r="M62" s="546"/>
      <c r="N62" s="546"/>
      <c r="O62" s="546"/>
      <c r="P62" s="545"/>
      <c r="Q62" s="545"/>
      <c r="R62" s="545"/>
      <c r="S62" s="545"/>
      <c r="T62" s="545"/>
      <c r="U62" s="545"/>
      <c r="V62" s="545"/>
      <c r="W62" s="545"/>
    </row>
    <row r="63" spans="1:171" ht="13.9" customHeight="1">
      <c r="A63" s="545"/>
      <c r="B63" s="545"/>
      <c r="C63" s="545"/>
      <c r="D63" s="546"/>
      <c r="E63" s="547"/>
      <c r="F63" s="548"/>
      <c r="G63" s="548"/>
      <c r="H63" s="548"/>
      <c r="I63" s="548"/>
      <c r="J63" s="548"/>
      <c r="K63" s="549"/>
      <c r="L63" s="546"/>
      <c r="M63" s="546"/>
      <c r="N63" s="546"/>
      <c r="O63" s="546"/>
      <c r="P63" s="545"/>
      <c r="Q63" s="545"/>
      <c r="R63" s="545"/>
      <c r="S63" s="545"/>
      <c r="T63" s="545"/>
      <c r="U63" s="545"/>
      <c r="V63" s="545"/>
      <c r="W63" s="545"/>
    </row>
    <row r="64" spans="1:171" ht="13.9" customHeight="1">
      <c r="A64" s="545"/>
      <c r="B64" s="545"/>
      <c r="C64" s="545"/>
      <c r="D64" s="546"/>
      <c r="E64" s="547"/>
      <c r="F64" s="548"/>
      <c r="G64" s="548"/>
      <c r="H64" s="548"/>
      <c r="I64" s="548"/>
      <c r="J64" s="548"/>
      <c r="K64" s="549"/>
      <c r="L64" s="546"/>
      <c r="M64" s="546"/>
      <c r="N64" s="546"/>
      <c r="O64" s="546"/>
      <c r="P64" s="545"/>
      <c r="Q64" s="545"/>
      <c r="R64" s="545"/>
      <c r="S64" s="545"/>
      <c r="T64" s="545"/>
      <c r="U64" s="545"/>
      <c r="V64" s="545"/>
      <c r="W64" s="545"/>
    </row>
    <row r="65" spans="1:23" ht="13.9" customHeight="1">
      <c r="A65" s="545"/>
      <c r="B65" s="545"/>
      <c r="C65" s="545"/>
      <c r="D65" s="546"/>
      <c r="E65" s="547"/>
      <c r="F65" s="548"/>
      <c r="G65" s="548"/>
      <c r="H65" s="548"/>
      <c r="I65" s="548"/>
      <c r="J65" s="548"/>
      <c r="K65" s="549"/>
      <c r="L65" s="546"/>
      <c r="M65" s="546"/>
      <c r="N65" s="546"/>
      <c r="O65" s="546"/>
      <c r="P65" s="545"/>
      <c r="Q65" s="545"/>
      <c r="R65" s="545"/>
      <c r="S65" s="545"/>
      <c r="T65" s="545"/>
      <c r="U65" s="545"/>
      <c r="V65" s="545"/>
      <c r="W65" s="545"/>
    </row>
    <row r="66" spans="1:23" ht="13.9" customHeight="1">
      <c r="A66" s="545"/>
      <c r="B66" s="545"/>
      <c r="C66" s="545"/>
      <c r="D66" s="546"/>
      <c r="E66" s="547"/>
      <c r="F66" s="548"/>
      <c r="G66" s="548"/>
      <c r="H66" s="548"/>
      <c r="I66" s="548"/>
      <c r="J66" s="548"/>
      <c r="K66" s="549"/>
      <c r="L66" s="546"/>
      <c r="M66" s="546"/>
      <c r="N66" s="546"/>
      <c r="O66" s="546"/>
      <c r="P66" s="545"/>
      <c r="Q66" s="545"/>
      <c r="R66" s="545"/>
      <c r="S66" s="545"/>
      <c r="T66" s="545"/>
      <c r="U66" s="545"/>
      <c r="V66" s="545"/>
      <c r="W66" s="545"/>
    </row>
    <row r="67" spans="1:23" ht="13.9" customHeight="1">
      <c r="A67" s="545"/>
      <c r="B67" s="545"/>
      <c r="C67" s="545"/>
      <c r="D67" s="546"/>
      <c r="E67" s="547"/>
      <c r="F67" s="548"/>
      <c r="G67" s="548"/>
      <c r="H67" s="548"/>
      <c r="I67" s="548"/>
      <c r="J67" s="548"/>
      <c r="K67" s="549"/>
      <c r="L67" s="546"/>
      <c r="M67" s="546"/>
      <c r="N67" s="546"/>
      <c r="O67" s="546"/>
      <c r="P67" s="545"/>
      <c r="Q67" s="545"/>
      <c r="R67" s="545"/>
      <c r="S67" s="545"/>
      <c r="T67" s="545"/>
      <c r="U67" s="545"/>
      <c r="V67" s="545"/>
      <c r="W67" s="545"/>
    </row>
    <row r="68" spans="1:23" ht="13.9" customHeight="1">
      <c r="A68" s="545"/>
      <c r="B68" s="545"/>
      <c r="C68" s="545"/>
      <c r="D68" s="546"/>
      <c r="E68" s="547"/>
      <c r="F68" s="548"/>
      <c r="G68" s="548"/>
      <c r="H68" s="548"/>
      <c r="I68" s="548"/>
      <c r="J68" s="548"/>
      <c r="K68" s="549"/>
      <c r="L68" s="546"/>
      <c r="M68" s="546"/>
      <c r="N68" s="546"/>
      <c r="O68" s="546"/>
      <c r="P68" s="545"/>
      <c r="Q68" s="545"/>
      <c r="R68" s="545"/>
      <c r="S68" s="545"/>
      <c r="T68" s="545"/>
      <c r="U68" s="545"/>
      <c r="V68" s="545"/>
      <c r="W68" s="545"/>
    </row>
    <row r="69" spans="1:23" ht="13.9" customHeight="1">
      <c r="A69" s="545"/>
      <c r="B69" s="545"/>
      <c r="C69" s="545"/>
      <c r="D69" s="546"/>
      <c r="E69" s="547"/>
      <c r="F69" s="548"/>
      <c r="G69" s="548"/>
      <c r="H69" s="548"/>
      <c r="I69" s="548"/>
      <c r="J69" s="548"/>
      <c r="K69" s="549"/>
      <c r="L69" s="546"/>
      <c r="M69" s="546"/>
      <c r="N69" s="546"/>
      <c r="O69" s="546"/>
      <c r="P69" s="545"/>
      <c r="Q69" s="545"/>
      <c r="R69" s="545"/>
      <c r="S69" s="545"/>
      <c r="T69" s="545"/>
      <c r="U69" s="545"/>
      <c r="V69" s="545"/>
      <c r="W69" s="545"/>
    </row>
    <row r="70" spans="1:23" ht="13.9" customHeight="1">
      <c r="A70" s="545"/>
      <c r="B70" s="545"/>
      <c r="C70" s="545"/>
      <c r="D70" s="546"/>
      <c r="E70" s="547"/>
      <c r="F70" s="548"/>
      <c r="G70" s="548"/>
      <c r="H70" s="548"/>
      <c r="I70" s="548"/>
      <c r="J70" s="548"/>
      <c r="K70" s="549"/>
      <c r="L70" s="546"/>
      <c r="M70" s="546"/>
      <c r="N70" s="546"/>
      <c r="O70" s="546"/>
      <c r="P70" s="545"/>
      <c r="Q70" s="545"/>
      <c r="R70" s="545"/>
      <c r="S70" s="545"/>
      <c r="T70" s="545"/>
      <c r="U70" s="545"/>
      <c r="V70" s="545"/>
      <c r="W70" s="545"/>
    </row>
    <row r="71" spans="1:23" ht="13.9" customHeight="1">
      <c r="A71" s="545"/>
      <c r="B71" s="545"/>
      <c r="C71" s="545"/>
      <c r="D71" s="546"/>
      <c r="E71" s="547"/>
      <c r="F71" s="548"/>
      <c r="G71" s="548"/>
      <c r="H71" s="548"/>
      <c r="I71" s="548"/>
      <c r="J71" s="548"/>
      <c r="K71" s="549"/>
      <c r="L71" s="546"/>
      <c r="M71" s="546"/>
      <c r="N71" s="546"/>
      <c r="O71" s="546"/>
      <c r="P71" s="545"/>
      <c r="Q71" s="545"/>
      <c r="R71" s="545"/>
      <c r="S71" s="545"/>
      <c r="T71" s="545"/>
      <c r="U71" s="545"/>
      <c r="V71" s="545"/>
      <c r="W71" s="545"/>
    </row>
    <row r="72" spans="1:23" ht="13.9" customHeight="1">
      <c r="A72" s="545"/>
      <c r="B72" s="545"/>
      <c r="C72" s="545"/>
      <c r="D72" s="546"/>
      <c r="E72" s="547"/>
      <c r="F72" s="548"/>
      <c r="G72" s="548"/>
      <c r="H72" s="548"/>
      <c r="I72" s="548"/>
      <c r="J72" s="548"/>
      <c r="K72" s="549"/>
      <c r="L72" s="546"/>
      <c r="M72" s="546"/>
      <c r="N72" s="546"/>
      <c r="O72" s="546"/>
      <c r="P72" s="545"/>
      <c r="Q72" s="545"/>
      <c r="R72" s="545"/>
      <c r="S72" s="545"/>
      <c r="T72" s="545"/>
      <c r="U72" s="545"/>
      <c r="V72" s="545"/>
      <c r="W72" s="545"/>
    </row>
    <row r="73" spans="1:23" ht="13.9" customHeight="1">
      <c r="A73" s="545"/>
      <c r="B73" s="545"/>
      <c r="C73" s="545"/>
      <c r="D73" s="546"/>
      <c r="E73" s="547"/>
      <c r="F73" s="548"/>
      <c r="G73" s="548"/>
      <c r="H73" s="548"/>
      <c r="I73" s="548"/>
      <c r="J73" s="548"/>
      <c r="K73" s="549"/>
      <c r="L73" s="546"/>
      <c r="M73" s="546"/>
      <c r="N73" s="546"/>
      <c r="O73" s="546"/>
      <c r="P73" s="545"/>
      <c r="Q73" s="545"/>
      <c r="R73" s="545"/>
      <c r="S73" s="545"/>
      <c r="T73" s="545"/>
      <c r="U73" s="545"/>
      <c r="V73" s="545"/>
      <c r="W73" s="545"/>
    </row>
    <row r="74" spans="1:23" ht="13.9" customHeight="1">
      <c r="A74" s="545"/>
      <c r="B74" s="545"/>
      <c r="C74" s="545"/>
      <c r="D74" s="546"/>
      <c r="E74" s="547"/>
      <c r="F74" s="548"/>
      <c r="G74" s="548"/>
      <c r="H74" s="548"/>
      <c r="I74" s="548"/>
      <c r="J74" s="548"/>
      <c r="K74" s="549"/>
      <c r="L74" s="546"/>
      <c r="M74" s="546"/>
      <c r="N74" s="546"/>
      <c r="O74" s="546"/>
      <c r="P74" s="545"/>
      <c r="Q74" s="545"/>
      <c r="R74" s="545"/>
      <c r="S74" s="545"/>
      <c r="T74" s="545"/>
      <c r="U74" s="545"/>
      <c r="V74" s="545"/>
      <c r="W74" s="545"/>
    </row>
    <row r="75" spans="1:23" ht="13.9" customHeight="1">
      <c r="A75" s="545"/>
      <c r="B75" s="545"/>
      <c r="C75" s="545"/>
      <c r="D75" s="546"/>
      <c r="E75" s="547"/>
      <c r="F75" s="548"/>
      <c r="G75" s="548"/>
      <c r="H75" s="548"/>
      <c r="I75" s="548"/>
      <c r="J75" s="548"/>
      <c r="K75" s="549"/>
      <c r="L75" s="546"/>
      <c r="M75" s="546"/>
      <c r="N75" s="546"/>
      <c r="O75" s="546"/>
      <c r="P75" s="545"/>
      <c r="Q75" s="545"/>
      <c r="R75" s="545"/>
      <c r="S75" s="545"/>
      <c r="T75" s="545"/>
      <c r="U75" s="545"/>
      <c r="V75" s="545"/>
      <c r="W75" s="545"/>
    </row>
    <row r="76" spans="1:23" ht="13.9" customHeight="1">
      <c r="A76" s="545"/>
      <c r="B76" s="545"/>
      <c r="C76" s="545"/>
      <c r="D76" s="546"/>
      <c r="E76" s="547"/>
      <c r="F76" s="548"/>
      <c r="G76" s="548"/>
      <c r="H76" s="548"/>
      <c r="I76" s="548"/>
      <c r="J76" s="548"/>
      <c r="K76" s="549"/>
      <c r="L76" s="546"/>
      <c r="M76" s="546"/>
      <c r="N76" s="546"/>
      <c r="O76" s="546"/>
      <c r="P76" s="545"/>
      <c r="Q76" s="545"/>
      <c r="R76" s="545"/>
      <c r="S76" s="545"/>
      <c r="T76" s="545"/>
      <c r="U76" s="545"/>
      <c r="V76" s="545"/>
      <c r="W76" s="545"/>
    </row>
    <row r="77" spans="1:23" ht="13.9" customHeight="1">
      <c r="A77" s="545"/>
      <c r="B77" s="545"/>
      <c r="C77" s="545"/>
      <c r="D77" s="546"/>
      <c r="E77" s="547"/>
      <c r="F77" s="548"/>
      <c r="G77" s="548"/>
      <c r="H77" s="548"/>
      <c r="I77" s="548"/>
      <c r="J77" s="548"/>
      <c r="K77" s="549"/>
      <c r="L77" s="546"/>
      <c r="M77" s="546"/>
      <c r="N77" s="546"/>
      <c r="O77" s="546"/>
      <c r="P77" s="545"/>
      <c r="Q77" s="545"/>
      <c r="R77" s="545"/>
      <c r="S77" s="545"/>
      <c r="T77" s="545"/>
      <c r="U77" s="545"/>
      <c r="V77" s="545"/>
      <c r="W77" s="545"/>
    </row>
    <row r="78" spans="1:23" ht="13.9" customHeight="1">
      <c r="A78" s="545"/>
      <c r="B78" s="545"/>
      <c r="C78" s="545"/>
      <c r="D78" s="546"/>
      <c r="E78" s="547"/>
      <c r="F78" s="548"/>
      <c r="G78" s="548"/>
      <c r="H78" s="548"/>
      <c r="I78" s="548"/>
      <c r="J78" s="548"/>
      <c r="K78" s="549"/>
      <c r="L78" s="546"/>
      <c r="M78" s="546"/>
      <c r="N78" s="546"/>
      <c r="O78" s="546"/>
      <c r="P78" s="545"/>
      <c r="Q78" s="545"/>
      <c r="R78" s="545"/>
      <c r="S78" s="545"/>
      <c r="T78" s="545"/>
      <c r="U78" s="545"/>
      <c r="V78" s="545"/>
      <c r="W78" s="545"/>
    </row>
    <row r="79" spans="1:23" ht="13.9" customHeight="1">
      <c r="A79" s="545"/>
      <c r="B79" s="545"/>
      <c r="C79" s="545"/>
      <c r="D79" s="546"/>
      <c r="E79" s="547"/>
      <c r="F79" s="548"/>
      <c r="G79" s="548"/>
      <c r="H79" s="548"/>
      <c r="I79" s="548"/>
      <c r="J79" s="548"/>
      <c r="K79" s="549"/>
      <c r="L79" s="546"/>
      <c r="M79" s="546"/>
      <c r="N79" s="546"/>
      <c r="O79" s="546"/>
      <c r="P79" s="545"/>
      <c r="Q79" s="545"/>
      <c r="R79" s="545"/>
      <c r="S79" s="545"/>
      <c r="T79" s="545"/>
      <c r="U79" s="545"/>
      <c r="V79" s="545"/>
      <c r="W79" s="545"/>
    </row>
    <row r="80" spans="1:23" ht="13.9" customHeight="1">
      <c r="A80" s="545"/>
      <c r="B80" s="545"/>
      <c r="C80" s="545"/>
      <c r="D80" s="546"/>
      <c r="E80" s="547"/>
      <c r="F80" s="548"/>
      <c r="G80" s="548"/>
      <c r="H80" s="548"/>
      <c r="I80" s="548"/>
      <c r="J80" s="548"/>
      <c r="K80" s="549"/>
      <c r="L80" s="546"/>
      <c r="M80" s="546"/>
      <c r="N80" s="546"/>
      <c r="O80" s="546"/>
      <c r="P80" s="545"/>
      <c r="Q80" s="545"/>
      <c r="R80" s="545"/>
      <c r="S80" s="545"/>
      <c r="T80" s="545"/>
      <c r="U80" s="545"/>
      <c r="V80" s="545"/>
      <c r="W80" s="545"/>
    </row>
    <row r="81" spans="1:23" ht="13.9" customHeight="1">
      <c r="A81" s="545"/>
      <c r="B81" s="545"/>
      <c r="C81" s="545"/>
      <c r="D81" s="546"/>
      <c r="E81" s="547"/>
      <c r="F81" s="548"/>
      <c r="G81" s="548"/>
      <c r="H81" s="548"/>
      <c r="I81" s="548"/>
      <c r="J81" s="548"/>
      <c r="K81" s="549"/>
      <c r="L81" s="546"/>
      <c r="M81" s="546"/>
      <c r="N81" s="546"/>
      <c r="O81" s="546"/>
      <c r="P81" s="545"/>
      <c r="Q81" s="545"/>
      <c r="R81" s="545"/>
      <c r="S81" s="545"/>
      <c r="T81" s="545"/>
      <c r="U81" s="545"/>
      <c r="V81" s="545"/>
      <c r="W81" s="545"/>
    </row>
    <row r="82" spans="1:23" ht="13.9" customHeight="1">
      <c r="A82" s="545"/>
      <c r="B82" s="545"/>
      <c r="C82" s="545"/>
      <c r="D82" s="546"/>
      <c r="E82" s="547"/>
      <c r="F82" s="548"/>
      <c r="G82" s="548"/>
      <c r="H82" s="548"/>
      <c r="I82" s="548"/>
      <c r="J82" s="548"/>
      <c r="K82" s="549"/>
      <c r="L82" s="546"/>
      <c r="M82" s="546"/>
      <c r="N82" s="546"/>
      <c r="O82" s="546"/>
      <c r="P82" s="545"/>
      <c r="Q82" s="545"/>
      <c r="R82" s="545"/>
      <c r="S82" s="545"/>
      <c r="T82" s="545"/>
      <c r="U82" s="545"/>
      <c r="V82" s="545"/>
      <c r="W82" s="545"/>
    </row>
    <row r="83" spans="1:23" ht="13.9" customHeight="1">
      <c r="A83" s="545"/>
      <c r="B83" s="545"/>
      <c r="C83" s="545"/>
      <c r="D83" s="546"/>
      <c r="E83" s="547"/>
      <c r="F83" s="548"/>
      <c r="G83" s="548"/>
      <c r="H83" s="548"/>
      <c r="I83" s="548"/>
      <c r="J83" s="548"/>
      <c r="K83" s="549"/>
      <c r="L83" s="546"/>
      <c r="M83" s="546"/>
      <c r="N83" s="546"/>
      <c r="O83" s="546"/>
      <c r="P83" s="545"/>
      <c r="Q83" s="545"/>
      <c r="R83" s="545"/>
      <c r="S83" s="545"/>
      <c r="T83" s="545"/>
      <c r="U83" s="545"/>
      <c r="V83" s="545"/>
      <c r="W83" s="545"/>
    </row>
    <row r="84" spans="1:23" ht="13.9" customHeight="1">
      <c r="A84" s="545"/>
      <c r="B84" s="545"/>
      <c r="C84" s="545"/>
      <c r="D84" s="546"/>
      <c r="E84" s="547"/>
      <c r="F84" s="548"/>
      <c r="G84" s="548"/>
      <c r="H84" s="548"/>
      <c r="I84" s="548"/>
      <c r="J84" s="548"/>
      <c r="K84" s="549"/>
      <c r="L84" s="546"/>
      <c r="M84" s="546"/>
      <c r="N84" s="546"/>
      <c r="O84" s="546"/>
      <c r="P84" s="545"/>
      <c r="Q84" s="545"/>
      <c r="R84" s="545"/>
      <c r="S84" s="545"/>
      <c r="T84" s="545"/>
      <c r="U84" s="545"/>
      <c r="V84" s="545"/>
      <c r="W84" s="545"/>
    </row>
    <row r="85" spans="1:23" ht="13.9" customHeight="1">
      <c r="A85" s="545"/>
      <c r="B85" s="545"/>
      <c r="C85" s="545"/>
      <c r="D85" s="546"/>
      <c r="E85" s="547"/>
      <c r="F85" s="548"/>
      <c r="G85" s="548"/>
      <c r="H85" s="548"/>
      <c r="I85" s="548"/>
      <c r="J85" s="548"/>
      <c r="K85" s="549"/>
      <c r="L85" s="546"/>
      <c r="M85" s="546"/>
      <c r="N85" s="546"/>
      <c r="O85" s="546"/>
      <c r="P85" s="545"/>
      <c r="Q85" s="545"/>
      <c r="R85" s="545"/>
      <c r="S85" s="545"/>
      <c r="T85" s="545"/>
      <c r="U85" s="545"/>
      <c r="V85" s="545"/>
      <c r="W85" s="545"/>
    </row>
    <row r="86" spans="1:23" ht="13.9" customHeight="1">
      <c r="A86" s="545"/>
      <c r="B86" s="545"/>
      <c r="C86" s="545"/>
      <c r="D86" s="546"/>
      <c r="E86" s="547"/>
      <c r="F86" s="548"/>
      <c r="G86" s="548"/>
      <c r="H86" s="548"/>
      <c r="I86" s="548"/>
      <c r="J86" s="548"/>
      <c r="K86" s="549"/>
      <c r="L86" s="546"/>
      <c r="M86" s="546"/>
      <c r="N86" s="546"/>
      <c r="O86" s="546"/>
      <c r="P86" s="545"/>
      <c r="Q86" s="545"/>
      <c r="R86" s="545"/>
      <c r="S86" s="545"/>
      <c r="T86" s="545"/>
      <c r="U86" s="545"/>
      <c r="V86" s="545"/>
      <c r="W86" s="545"/>
    </row>
    <row r="87" spans="1:23" ht="13.9" customHeight="1">
      <c r="A87" s="545"/>
      <c r="B87" s="545"/>
      <c r="C87" s="545"/>
      <c r="D87" s="546"/>
      <c r="E87" s="547"/>
      <c r="F87" s="548"/>
      <c r="G87" s="548"/>
      <c r="H87" s="548"/>
      <c r="I87" s="548"/>
      <c r="J87" s="548"/>
      <c r="K87" s="549"/>
      <c r="L87" s="546"/>
      <c r="M87" s="546"/>
      <c r="N87" s="546"/>
      <c r="O87" s="546"/>
      <c r="P87" s="545"/>
      <c r="Q87" s="545"/>
      <c r="R87" s="545"/>
      <c r="S87" s="545"/>
      <c r="T87" s="545"/>
      <c r="U87" s="545"/>
      <c r="V87" s="545"/>
      <c r="W87" s="545"/>
    </row>
    <row r="88" spans="1:23" ht="13.9" customHeight="1">
      <c r="A88" s="545"/>
      <c r="B88" s="545"/>
      <c r="C88" s="545"/>
      <c r="D88" s="546"/>
      <c r="E88" s="547"/>
      <c r="F88" s="548"/>
      <c r="G88" s="548"/>
      <c r="H88" s="548"/>
      <c r="I88" s="548"/>
      <c r="J88" s="548"/>
      <c r="K88" s="549"/>
      <c r="L88" s="546"/>
      <c r="M88" s="546"/>
      <c r="N88" s="546"/>
      <c r="O88" s="546"/>
      <c r="P88" s="545"/>
      <c r="Q88" s="545"/>
      <c r="R88" s="545"/>
      <c r="S88" s="545"/>
      <c r="T88" s="545"/>
      <c r="U88" s="545"/>
      <c r="V88" s="545"/>
      <c r="W88" s="545"/>
    </row>
    <row r="89" spans="1:23" ht="13.9" customHeight="1">
      <c r="A89" s="545"/>
      <c r="B89" s="545"/>
      <c r="C89" s="545"/>
      <c r="D89" s="546"/>
      <c r="E89" s="547"/>
      <c r="F89" s="548"/>
      <c r="G89" s="548"/>
      <c r="H89" s="548"/>
      <c r="I89" s="548"/>
      <c r="J89" s="548"/>
      <c r="K89" s="549"/>
      <c r="L89" s="546"/>
      <c r="M89" s="546"/>
      <c r="N89" s="546"/>
      <c r="O89" s="546"/>
      <c r="P89" s="545"/>
      <c r="Q89" s="545"/>
      <c r="R89" s="545"/>
      <c r="S89" s="545"/>
      <c r="T89" s="545"/>
      <c r="U89" s="545"/>
      <c r="V89" s="545"/>
      <c r="W89" s="545"/>
    </row>
    <row r="90" spans="1:23" ht="13.9" customHeight="1">
      <c r="A90" s="545"/>
      <c r="B90" s="545"/>
      <c r="C90" s="545"/>
      <c r="D90" s="546"/>
      <c r="E90" s="547"/>
      <c r="F90" s="548"/>
      <c r="G90" s="548"/>
      <c r="H90" s="548"/>
      <c r="I90" s="548"/>
      <c r="J90" s="548"/>
      <c r="K90" s="549"/>
      <c r="L90" s="546"/>
      <c r="M90" s="546"/>
      <c r="N90" s="546"/>
      <c r="O90" s="546"/>
      <c r="P90" s="545"/>
      <c r="Q90" s="545"/>
      <c r="R90" s="545"/>
      <c r="S90" s="545"/>
      <c r="T90" s="545"/>
      <c r="U90" s="545"/>
      <c r="V90" s="545"/>
      <c r="W90" s="545"/>
    </row>
    <row r="91" spans="1:23" ht="13.9" customHeight="1">
      <c r="A91" s="545"/>
      <c r="B91" s="545"/>
      <c r="C91" s="545"/>
      <c r="D91" s="546"/>
      <c r="E91" s="547"/>
      <c r="F91" s="548"/>
      <c r="G91" s="548"/>
      <c r="H91" s="548"/>
      <c r="I91" s="548"/>
      <c r="J91" s="548"/>
      <c r="K91" s="549"/>
      <c r="L91" s="546"/>
      <c r="M91" s="546"/>
      <c r="N91" s="546"/>
      <c r="O91" s="546"/>
      <c r="P91" s="545"/>
      <c r="Q91" s="545"/>
      <c r="R91" s="545"/>
      <c r="S91" s="545"/>
      <c r="T91" s="545"/>
      <c r="U91" s="545"/>
      <c r="V91" s="545"/>
      <c r="W91" s="545"/>
    </row>
    <row r="92" spans="1:23" ht="13.9" customHeight="1">
      <c r="A92" s="545"/>
      <c r="B92" s="545"/>
      <c r="C92" s="545"/>
      <c r="D92" s="546"/>
      <c r="E92" s="547"/>
      <c r="F92" s="548"/>
      <c r="G92" s="548"/>
      <c r="H92" s="548"/>
      <c r="I92" s="548"/>
      <c r="J92" s="548"/>
      <c r="K92" s="549"/>
      <c r="L92" s="546"/>
      <c r="M92" s="546"/>
      <c r="N92" s="546"/>
      <c r="O92" s="546"/>
      <c r="P92" s="545"/>
      <c r="Q92" s="545"/>
      <c r="R92" s="545"/>
      <c r="S92" s="545"/>
      <c r="T92" s="545"/>
      <c r="U92" s="545"/>
      <c r="V92" s="545"/>
      <c r="W92" s="545"/>
    </row>
    <row r="93" spans="1:23" ht="13.9" customHeight="1">
      <c r="A93" s="545"/>
      <c r="B93" s="545"/>
      <c r="C93" s="545"/>
      <c r="D93" s="546"/>
      <c r="E93" s="547"/>
      <c r="F93" s="548"/>
      <c r="G93" s="548"/>
      <c r="H93" s="548"/>
      <c r="I93" s="548"/>
      <c r="J93" s="548"/>
      <c r="K93" s="549"/>
      <c r="L93" s="546"/>
      <c r="M93" s="546"/>
      <c r="N93" s="546"/>
      <c r="O93" s="546"/>
      <c r="P93" s="545"/>
      <c r="Q93" s="545"/>
      <c r="R93" s="545"/>
      <c r="S93" s="545"/>
      <c r="T93" s="545"/>
      <c r="U93" s="545"/>
      <c r="V93" s="545"/>
      <c r="W93" s="545"/>
    </row>
    <row r="94" spans="1:23" ht="13.9" customHeight="1">
      <c r="A94" s="545"/>
      <c r="B94" s="545"/>
      <c r="C94" s="545"/>
      <c r="D94" s="546"/>
      <c r="E94" s="547"/>
      <c r="F94" s="548"/>
      <c r="G94" s="548"/>
      <c r="H94" s="548"/>
      <c r="I94" s="548"/>
      <c r="J94" s="548"/>
      <c r="K94" s="549"/>
      <c r="L94" s="546"/>
      <c r="M94" s="546"/>
      <c r="N94" s="546"/>
      <c r="O94" s="546"/>
      <c r="P94" s="545"/>
      <c r="Q94" s="545"/>
      <c r="R94" s="545"/>
      <c r="S94" s="545"/>
      <c r="T94" s="545"/>
      <c r="U94" s="545"/>
      <c r="V94" s="545"/>
      <c r="W94" s="545"/>
    </row>
    <row r="95" spans="1:23" ht="13.9" customHeight="1">
      <c r="A95" s="545"/>
      <c r="B95" s="545"/>
      <c r="C95" s="545"/>
      <c r="D95" s="546"/>
      <c r="E95" s="547"/>
      <c r="F95" s="548"/>
      <c r="G95" s="548"/>
      <c r="H95" s="548"/>
      <c r="I95" s="548"/>
      <c r="J95" s="548"/>
      <c r="K95" s="549"/>
      <c r="L95" s="546"/>
      <c r="M95" s="546"/>
      <c r="N95" s="546"/>
      <c r="O95" s="546"/>
      <c r="P95" s="545"/>
      <c r="Q95" s="545"/>
      <c r="R95" s="545"/>
      <c r="S95" s="545"/>
      <c r="T95" s="545"/>
      <c r="U95" s="545"/>
      <c r="V95" s="545"/>
      <c r="W95" s="545"/>
    </row>
    <row r="96" spans="1:23" ht="13.9" customHeight="1">
      <c r="A96" s="545"/>
      <c r="B96" s="545"/>
      <c r="C96" s="545"/>
      <c r="D96" s="546"/>
      <c r="E96" s="547"/>
      <c r="F96" s="548"/>
      <c r="G96" s="548"/>
      <c r="H96" s="548"/>
      <c r="I96" s="548"/>
      <c r="J96" s="548"/>
      <c r="K96" s="549"/>
      <c r="L96" s="546"/>
      <c r="M96" s="546"/>
      <c r="N96" s="546"/>
      <c r="O96" s="546"/>
      <c r="P96" s="545"/>
      <c r="Q96" s="545"/>
      <c r="R96" s="545"/>
      <c r="S96" s="545"/>
      <c r="T96" s="545"/>
      <c r="U96" s="545"/>
      <c r="V96" s="545"/>
      <c r="W96" s="545"/>
    </row>
    <row r="97" spans="1:23" ht="13.9" customHeight="1">
      <c r="A97" s="545"/>
      <c r="B97" s="545"/>
      <c r="C97" s="545"/>
      <c r="D97" s="546"/>
      <c r="E97" s="547"/>
      <c r="F97" s="548"/>
      <c r="G97" s="548"/>
      <c r="H97" s="548"/>
      <c r="I97" s="548"/>
      <c r="J97" s="548"/>
      <c r="K97" s="549"/>
      <c r="L97" s="546"/>
      <c r="M97" s="546"/>
      <c r="N97" s="546"/>
      <c r="O97" s="546"/>
      <c r="P97" s="545"/>
      <c r="Q97" s="545"/>
      <c r="R97" s="545"/>
      <c r="S97" s="545"/>
      <c r="T97" s="545"/>
      <c r="U97" s="545"/>
      <c r="V97" s="545"/>
      <c r="W97" s="545"/>
    </row>
    <row r="98" spans="1:23" ht="13.9" customHeight="1">
      <c r="A98" s="545"/>
      <c r="B98" s="545"/>
      <c r="C98" s="545"/>
      <c r="D98" s="546"/>
      <c r="E98" s="547"/>
      <c r="F98" s="548"/>
      <c r="G98" s="548"/>
      <c r="H98" s="548"/>
      <c r="I98" s="548"/>
      <c r="J98" s="548"/>
      <c r="K98" s="549"/>
      <c r="L98" s="546"/>
      <c r="M98" s="546"/>
      <c r="N98" s="546"/>
      <c r="O98" s="546"/>
      <c r="P98" s="545"/>
      <c r="Q98" s="545"/>
      <c r="R98" s="545"/>
      <c r="S98" s="545"/>
      <c r="T98" s="545"/>
      <c r="U98" s="545"/>
      <c r="V98" s="545"/>
      <c r="W98" s="545"/>
    </row>
    <row r="99" spans="1:23" ht="13.9" customHeight="1">
      <c r="A99" s="545"/>
      <c r="B99" s="545"/>
      <c r="C99" s="545"/>
      <c r="D99" s="546"/>
      <c r="E99" s="547"/>
      <c r="F99" s="548"/>
      <c r="G99" s="548"/>
      <c r="H99" s="548"/>
      <c r="I99" s="548"/>
      <c r="J99" s="548"/>
      <c r="K99" s="549"/>
      <c r="L99" s="546"/>
      <c r="M99" s="546"/>
      <c r="N99" s="546"/>
      <c r="O99" s="546"/>
      <c r="P99" s="545"/>
      <c r="Q99" s="545"/>
      <c r="R99" s="545"/>
      <c r="S99" s="545"/>
      <c r="T99" s="545"/>
      <c r="U99" s="545"/>
      <c r="V99" s="545"/>
      <c r="W99" s="545"/>
    </row>
    <row r="100" spans="1:23" ht="13.9" customHeight="1">
      <c r="A100" s="545"/>
      <c r="B100" s="545"/>
      <c r="C100" s="545"/>
      <c r="D100" s="546"/>
      <c r="E100" s="547"/>
      <c r="F100" s="548"/>
      <c r="G100" s="548"/>
      <c r="H100" s="548"/>
      <c r="I100" s="548"/>
      <c r="J100" s="548"/>
      <c r="K100" s="549"/>
      <c r="L100" s="546"/>
      <c r="M100" s="546"/>
      <c r="N100" s="546"/>
      <c r="O100" s="546"/>
      <c r="P100" s="545"/>
      <c r="Q100" s="545"/>
      <c r="R100" s="545"/>
      <c r="S100" s="545"/>
      <c r="T100" s="545"/>
      <c r="U100" s="545"/>
      <c r="V100" s="545"/>
      <c r="W100" s="545"/>
    </row>
    <row r="101" spans="1:23" ht="13.9" customHeight="1">
      <c r="A101" s="545"/>
      <c r="B101" s="545"/>
      <c r="C101" s="545"/>
      <c r="D101" s="546"/>
      <c r="E101" s="547"/>
      <c r="F101" s="548"/>
      <c r="G101" s="548"/>
      <c r="H101" s="548"/>
      <c r="I101" s="548"/>
      <c r="J101" s="548"/>
      <c r="K101" s="549"/>
      <c r="L101" s="546"/>
      <c r="M101" s="546"/>
      <c r="N101" s="546"/>
      <c r="O101" s="546"/>
      <c r="P101" s="545"/>
      <c r="Q101" s="545"/>
      <c r="R101" s="545"/>
      <c r="S101" s="545"/>
      <c r="T101" s="545"/>
      <c r="U101" s="545"/>
      <c r="V101" s="545"/>
      <c r="W101" s="545"/>
    </row>
    <row r="102" spans="1:23" ht="13.9" customHeight="1">
      <c r="A102" s="545"/>
      <c r="B102" s="545"/>
      <c r="C102" s="545"/>
      <c r="D102" s="546"/>
      <c r="E102" s="547"/>
      <c r="F102" s="548"/>
      <c r="G102" s="548"/>
      <c r="H102" s="548"/>
      <c r="I102" s="548"/>
      <c r="J102" s="548"/>
      <c r="K102" s="549"/>
      <c r="L102" s="546"/>
      <c r="M102" s="546"/>
      <c r="N102" s="546"/>
      <c r="O102" s="546"/>
      <c r="P102" s="545"/>
      <c r="Q102" s="545"/>
      <c r="R102" s="545"/>
      <c r="S102" s="545"/>
      <c r="T102" s="545"/>
      <c r="U102" s="545"/>
      <c r="V102" s="545"/>
      <c r="W102" s="545"/>
    </row>
    <row r="103" spans="1:23" ht="13.9" customHeight="1">
      <c r="A103" s="545"/>
      <c r="B103" s="545"/>
      <c r="C103" s="545"/>
      <c r="D103" s="546"/>
      <c r="E103" s="547"/>
      <c r="F103" s="548"/>
      <c r="G103" s="548"/>
      <c r="H103" s="548"/>
      <c r="I103" s="548"/>
      <c r="J103" s="548"/>
      <c r="K103" s="549"/>
      <c r="L103" s="546"/>
      <c r="M103" s="546"/>
      <c r="N103" s="546"/>
      <c r="O103" s="546"/>
      <c r="P103" s="545"/>
      <c r="Q103" s="545"/>
      <c r="R103" s="545"/>
      <c r="S103" s="545"/>
      <c r="T103" s="545"/>
      <c r="U103" s="545"/>
      <c r="V103" s="545"/>
      <c r="W103" s="545"/>
    </row>
    <row r="104" spans="1:23" ht="13.9" customHeight="1">
      <c r="A104" s="545"/>
      <c r="B104" s="545"/>
      <c r="C104" s="545"/>
      <c r="D104" s="546"/>
      <c r="E104" s="547"/>
      <c r="F104" s="548"/>
      <c r="G104" s="548"/>
      <c r="H104" s="548"/>
      <c r="I104" s="548"/>
      <c r="J104" s="548"/>
      <c r="K104" s="549"/>
      <c r="L104" s="546"/>
      <c r="M104" s="546"/>
      <c r="N104" s="546"/>
      <c r="O104" s="546"/>
      <c r="P104" s="545"/>
      <c r="Q104" s="545"/>
      <c r="R104" s="545"/>
      <c r="S104" s="545"/>
      <c r="T104" s="545"/>
      <c r="U104" s="545"/>
      <c r="V104" s="545"/>
      <c r="W104" s="545"/>
    </row>
    <row r="105" spans="1:23" ht="13.9" customHeight="1">
      <c r="A105" s="545"/>
      <c r="B105" s="545"/>
      <c r="C105" s="545"/>
      <c r="D105" s="546"/>
      <c r="E105" s="547"/>
      <c r="F105" s="548"/>
      <c r="G105" s="548"/>
      <c r="H105" s="548"/>
      <c r="I105" s="548"/>
      <c r="J105" s="548"/>
      <c r="K105" s="549"/>
      <c r="L105" s="546"/>
      <c r="M105" s="546"/>
      <c r="N105" s="546"/>
      <c r="O105" s="546"/>
      <c r="P105" s="545"/>
      <c r="Q105" s="545"/>
      <c r="R105" s="545"/>
      <c r="S105" s="545"/>
      <c r="T105" s="545"/>
      <c r="U105" s="545"/>
      <c r="V105" s="545"/>
      <c r="W105" s="545"/>
    </row>
    <row r="106" spans="1:23" ht="13.9" customHeight="1">
      <c r="A106" s="545"/>
      <c r="B106" s="545"/>
      <c r="C106" s="545"/>
      <c r="D106" s="546"/>
      <c r="E106" s="547"/>
      <c r="F106" s="548"/>
      <c r="G106" s="548"/>
      <c r="H106" s="548"/>
      <c r="I106" s="548"/>
      <c r="J106" s="548"/>
      <c r="K106" s="549"/>
      <c r="L106" s="546"/>
      <c r="M106" s="546"/>
      <c r="N106" s="546"/>
      <c r="O106" s="546"/>
      <c r="P106" s="545"/>
      <c r="Q106" s="545"/>
      <c r="R106" s="545"/>
      <c r="S106" s="545"/>
      <c r="T106" s="545"/>
      <c r="U106" s="545"/>
      <c r="V106" s="545"/>
      <c r="W106" s="545"/>
    </row>
    <row r="107" spans="1:23" ht="13.9" customHeight="1">
      <c r="A107" s="545"/>
      <c r="B107" s="545"/>
      <c r="C107" s="545"/>
      <c r="D107" s="546"/>
      <c r="E107" s="547"/>
      <c r="F107" s="548"/>
      <c r="G107" s="548"/>
      <c r="H107" s="548"/>
      <c r="I107" s="548"/>
      <c r="J107" s="548"/>
      <c r="K107" s="549"/>
      <c r="L107" s="546"/>
      <c r="M107" s="546"/>
      <c r="N107" s="546"/>
      <c r="O107" s="546"/>
      <c r="P107" s="545"/>
      <c r="Q107" s="545"/>
      <c r="R107" s="545"/>
      <c r="S107" s="545"/>
      <c r="T107" s="545"/>
      <c r="U107" s="545"/>
      <c r="V107" s="545"/>
      <c r="W107" s="545"/>
    </row>
    <row r="108" spans="1:23" ht="13.9" customHeight="1">
      <c r="A108" s="545"/>
      <c r="B108" s="545"/>
      <c r="C108" s="545"/>
      <c r="D108" s="546"/>
      <c r="E108" s="547"/>
      <c r="F108" s="548"/>
      <c r="G108" s="548"/>
      <c r="H108" s="548"/>
      <c r="I108" s="548"/>
      <c r="J108" s="548"/>
      <c r="K108" s="549"/>
      <c r="L108" s="546"/>
      <c r="M108" s="546"/>
      <c r="N108" s="546"/>
      <c r="O108" s="546"/>
      <c r="P108" s="545"/>
      <c r="Q108" s="545"/>
      <c r="R108" s="545"/>
      <c r="S108" s="545"/>
      <c r="T108" s="545"/>
      <c r="U108" s="545"/>
      <c r="V108" s="545"/>
      <c r="W108" s="545"/>
    </row>
    <row r="109" spans="1:23" ht="13.9" customHeight="1">
      <c r="A109" s="545"/>
      <c r="B109" s="545"/>
      <c r="C109" s="545"/>
      <c r="D109" s="546"/>
      <c r="E109" s="547"/>
      <c r="F109" s="548"/>
      <c r="G109" s="548"/>
      <c r="H109" s="548"/>
      <c r="I109" s="548"/>
      <c r="J109" s="548"/>
      <c r="K109" s="549"/>
      <c r="L109" s="546"/>
      <c r="M109" s="546"/>
      <c r="N109" s="546"/>
      <c r="O109" s="546"/>
      <c r="P109" s="545"/>
      <c r="Q109" s="545"/>
      <c r="R109" s="545"/>
      <c r="S109" s="545"/>
      <c r="T109" s="545"/>
      <c r="U109" s="545"/>
      <c r="V109" s="545"/>
      <c r="W109" s="545"/>
    </row>
    <row r="110" spans="1:23" ht="13.9" customHeight="1">
      <c r="A110" s="545"/>
      <c r="B110" s="545"/>
      <c r="C110" s="545"/>
      <c r="D110" s="546"/>
      <c r="E110" s="547"/>
      <c r="F110" s="548"/>
      <c r="G110" s="548"/>
      <c r="H110" s="548"/>
      <c r="I110" s="548"/>
      <c r="J110" s="548"/>
      <c r="K110" s="549"/>
      <c r="L110" s="546"/>
      <c r="M110" s="546"/>
      <c r="N110" s="546"/>
      <c r="O110" s="546"/>
      <c r="P110" s="545"/>
      <c r="Q110" s="545"/>
      <c r="R110" s="545"/>
      <c r="S110" s="545"/>
      <c r="T110" s="545"/>
      <c r="U110" s="545"/>
      <c r="V110" s="545"/>
      <c r="W110" s="545"/>
    </row>
    <row r="111" spans="1:23" ht="13.9" customHeight="1">
      <c r="A111" s="545"/>
      <c r="B111" s="545"/>
      <c r="C111" s="545"/>
      <c r="D111" s="546"/>
      <c r="E111" s="547"/>
      <c r="F111" s="548"/>
      <c r="G111" s="548"/>
      <c r="H111" s="548"/>
      <c r="I111" s="548"/>
      <c r="J111" s="548"/>
      <c r="K111" s="549"/>
      <c r="L111" s="546"/>
      <c r="M111" s="546"/>
      <c r="N111" s="546"/>
      <c r="O111" s="546"/>
      <c r="P111" s="545"/>
      <c r="Q111" s="545"/>
      <c r="R111" s="545"/>
      <c r="S111" s="545"/>
      <c r="T111" s="545"/>
      <c r="U111" s="545"/>
      <c r="V111" s="545"/>
      <c r="W111" s="545"/>
    </row>
    <row r="112" spans="1:23" ht="13.9" customHeight="1">
      <c r="A112" s="545"/>
      <c r="B112" s="545"/>
      <c r="C112" s="545"/>
      <c r="D112" s="546"/>
      <c r="E112" s="547"/>
      <c r="F112" s="548"/>
      <c r="G112" s="548"/>
      <c r="H112" s="548"/>
      <c r="I112" s="548"/>
      <c r="J112" s="548"/>
      <c r="K112" s="549"/>
      <c r="L112" s="546"/>
      <c r="M112" s="546"/>
      <c r="N112" s="546"/>
      <c r="O112" s="546"/>
      <c r="P112" s="545"/>
      <c r="Q112" s="545"/>
      <c r="R112" s="545"/>
      <c r="S112" s="545"/>
      <c r="T112" s="545"/>
      <c r="U112" s="545"/>
      <c r="V112" s="545"/>
      <c r="W112" s="545"/>
    </row>
    <row r="113" spans="1:23" ht="13.9" customHeight="1">
      <c r="A113" s="545"/>
      <c r="B113" s="545"/>
      <c r="C113" s="545"/>
      <c r="D113" s="546"/>
      <c r="E113" s="547"/>
      <c r="F113" s="548"/>
      <c r="G113" s="548"/>
      <c r="H113" s="548"/>
      <c r="I113" s="548"/>
      <c r="J113" s="548"/>
      <c r="K113" s="549"/>
      <c r="L113" s="546"/>
      <c r="M113" s="546"/>
      <c r="N113" s="546"/>
      <c r="O113" s="546"/>
      <c r="P113" s="545"/>
      <c r="Q113" s="545"/>
      <c r="R113" s="545"/>
      <c r="S113" s="545"/>
      <c r="T113" s="545"/>
      <c r="U113" s="545"/>
      <c r="V113" s="545"/>
      <c r="W113" s="545"/>
    </row>
    <row r="114" spans="1:23" ht="13.9" customHeight="1">
      <c r="A114" s="545"/>
      <c r="B114" s="545"/>
      <c r="C114" s="545"/>
      <c r="D114" s="546"/>
      <c r="E114" s="547"/>
      <c r="F114" s="548"/>
      <c r="G114" s="548"/>
      <c r="H114" s="548"/>
      <c r="I114" s="548"/>
      <c r="J114" s="548"/>
      <c r="K114" s="549"/>
      <c r="L114" s="546"/>
      <c r="M114" s="546"/>
      <c r="N114" s="546"/>
      <c r="O114" s="546"/>
      <c r="P114" s="545"/>
      <c r="Q114" s="545"/>
      <c r="R114" s="545"/>
      <c r="S114" s="545"/>
      <c r="T114" s="545"/>
      <c r="U114" s="545"/>
      <c r="V114" s="545"/>
      <c r="W114" s="545"/>
    </row>
    <row r="115" spans="1:23" ht="13.9" customHeight="1">
      <c r="A115" s="545"/>
      <c r="B115" s="545"/>
      <c r="C115" s="545"/>
      <c r="D115" s="546"/>
      <c r="E115" s="547"/>
      <c r="F115" s="548"/>
      <c r="G115" s="548"/>
      <c r="H115" s="548"/>
      <c r="I115" s="548"/>
      <c r="J115" s="548"/>
      <c r="K115" s="549"/>
      <c r="L115" s="546"/>
      <c r="M115" s="546"/>
      <c r="N115" s="546"/>
      <c r="O115" s="546"/>
      <c r="P115" s="545"/>
      <c r="Q115" s="545"/>
      <c r="R115" s="545"/>
      <c r="S115" s="545"/>
      <c r="T115" s="545"/>
      <c r="U115" s="545"/>
      <c r="V115" s="545"/>
      <c r="W115" s="545"/>
    </row>
    <row r="116" spans="1:23" ht="13.9" customHeight="1">
      <c r="A116" s="545"/>
      <c r="B116" s="545"/>
      <c r="C116" s="545"/>
      <c r="D116" s="546"/>
      <c r="E116" s="547"/>
      <c r="F116" s="548"/>
      <c r="G116" s="548"/>
      <c r="H116" s="548"/>
      <c r="I116" s="548"/>
      <c r="J116" s="548"/>
      <c r="K116" s="549"/>
      <c r="L116" s="546"/>
      <c r="M116" s="546"/>
      <c r="N116" s="546"/>
      <c r="O116" s="546"/>
      <c r="P116" s="545"/>
      <c r="Q116" s="545"/>
      <c r="R116" s="545"/>
      <c r="S116" s="545"/>
      <c r="T116" s="545"/>
      <c r="U116" s="545"/>
      <c r="V116" s="545"/>
      <c r="W116" s="545"/>
    </row>
    <row r="117" spans="1:23" ht="13.9" customHeight="1">
      <c r="A117" s="545"/>
      <c r="B117" s="545"/>
      <c r="C117" s="545"/>
      <c r="D117" s="546"/>
      <c r="E117" s="547"/>
      <c r="F117" s="548"/>
      <c r="G117" s="548"/>
      <c r="H117" s="548"/>
      <c r="I117" s="548"/>
      <c r="J117" s="548"/>
      <c r="K117" s="549"/>
      <c r="L117" s="546"/>
      <c r="M117" s="546"/>
      <c r="N117" s="546"/>
      <c r="O117" s="546"/>
      <c r="P117" s="545"/>
      <c r="Q117" s="545"/>
      <c r="R117" s="545"/>
      <c r="S117" s="545"/>
      <c r="T117" s="545"/>
      <c r="U117" s="545"/>
      <c r="V117" s="545"/>
      <c r="W117" s="545"/>
    </row>
    <row r="118" spans="1:23" ht="13.9" customHeight="1">
      <c r="A118" s="545"/>
      <c r="B118" s="545"/>
      <c r="C118" s="545"/>
      <c r="D118" s="546"/>
      <c r="E118" s="547"/>
      <c r="F118" s="548"/>
      <c r="G118" s="548"/>
      <c r="H118" s="548"/>
      <c r="I118" s="548"/>
      <c r="J118" s="548"/>
      <c r="K118" s="549"/>
      <c r="L118" s="546"/>
      <c r="M118" s="546"/>
      <c r="N118" s="546"/>
      <c r="O118" s="546"/>
      <c r="P118" s="545"/>
      <c r="Q118" s="545"/>
      <c r="R118" s="545"/>
      <c r="S118" s="545"/>
      <c r="T118" s="545"/>
      <c r="U118" s="545"/>
      <c r="V118" s="545"/>
      <c r="W118" s="545"/>
    </row>
    <row r="119" spans="1:23" ht="13.9" customHeight="1">
      <c r="A119" s="545"/>
      <c r="B119" s="545"/>
      <c r="C119" s="545"/>
      <c r="D119" s="546"/>
      <c r="E119" s="547"/>
      <c r="F119" s="548"/>
      <c r="G119" s="548"/>
      <c r="H119" s="548"/>
      <c r="I119" s="548"/>
      <c r="J119" s="548"/>
      <c r="K119" s="549"/>
      <c r="L119" s="546"/>
      <c r="M119" s="546"/>
      <c r="N119" s="546"/>
      <c r="O119" s="546"/>
      <c r="P119" s="545"/>
      <c r="Q119" s="545"/>
      <c r="R119" s="545"/>
      <c r="S119" s="545"/>
      <c r="T119" s="545"/>
      <c r="U119" s="545"/>
      <c r="V119" s="545"/>
      <c r="W119" s="545"/>
    </row>
    <row r="120" spans="1:23" ht="13.9" customHeight="1">
      <c r="A120" s="545"/>
      <c r="B120" s="545"/>
      <c r="C120" s="545"/>
      <c r="D120" s="546"/>
      <c r="E120" s="547"/>
      <c r="F120" s="548"/>
      <c r="G120" s="548"/>
      <c r="H120" s="548"/>
      <c r="I120" s="548"/>
      <c r="J120" s="548"/>
      <c r="K120" s="549"/>
      <c r="L120" s="546"/>
      <c r="M120" s="546"/>
      <c r="N120" s="546"/>
      <c r="O120" s="546"/>
      <c r="P120" s="545"/>
      <c r="Q120" s="545"/>
      <c r="R120" s="545"/>
      <c r="S120" s="545"/>
      <c r="T120" s="545"/>
      <c r="U120" s="545"/>
      <c r="V120" s="545"/>
      <c r="W120" s="545"/>
    </row>
    <row r="121" spans="1:23" ht="13.9" customHeight="1">
      <c r="A121" s="545"/>
      <c r="B121" s="545"/>
      <c r="C121" s="545"/>
      <c r="D121" s="546"/>
      <c r="E121" s="547"/>
      <c r="F121" s="548"/>
      <c r="G121" s="548"/>
      <c r="H121" s="548"/>
      <c r="I121" s="548"/>
      <c r="J121" s="548"/>
      <c r="K121" s="549"/>
      <c r="L121" s="546"/>
      <c r="M121" s="546"/>
      <c r="N121" s="546"/>
      <c r="O121" s="546"/>
      <c r="P121" s="545"/>
      <c r="Q121" s="545"/>
      <c r="R121" s="545"/>
      <c r="S121" s="545"/>
      <c r="T121" s="545"/>
      <c r="U121" s="545"/>
      <c r="V121" s="545"/>
      <c r="W121" s="545"/>
    </row>
    <row r="122" spans="1:23" ht="13.9" customHeight="1">
      <c r="A122" s="545"/>
      <c r="B122" s="545"/>
      <c r="C122" s="545"/>
      <c r="D122" s="546"/>
      <c r="E122" s="547"/>
      <c r="F122" s="548"/>
      <c r="G122" s="548"/>
      <c r="H122" s="548"/>
      <c r="I122" s="548"/>
      <c r="J122" s="548"/>
      <c r="K122" s="549"/>
      <c r="L122" s="546"/>
      <c r="M122" s="546"/>
      <c r="N122" s="546"/>
      <c r="O122" s="546"/>
      <c r="P122" s="545"/>
      <c r="Q122" s="545"/>
      <c r="R122" s="545"/>
      <c r="S122" s="545"/>
      <c r="T122" s="545"/>
      <c r="U122" s="545"/>
      <c r="V122" s="545"/>
      <c r="W122" s="545"/>
    </row>
    <row r="123" spans="1:23" ht="13.9" customHeight="1">
      <c r="A123" s="545"/>
      <c r="B123" s="545"/>
      <c r="C123" s="545"/>
      <c r="D123" s="546"/>
      <c r="E123" s="547"/>
      <c r="F123" s="548"/>
      <c r="G123" s="548"/>
      <c r="H123" s="548"/>
      <c r="I123" s="548"/>
      <c r="J123" s="548"/>
      <c r="K123" s="549"/>
      <c r="L123" s="546"/>
      <c r="M123" s="546"/>
      <c r="N123" s="546"/>
      <c r="O123" s="546"/>
      <c r="P123" s="545"/>
      <c r="Q123" s="545"/>
      <c r="R123" s="545"/>
      <c r="S123" s="545"/>
      <c r="T123" s="545"/>
      <c r="U123" s="545"/>
      <c r="V123" s="545"/>
      <c r="W123" s="545"/>
    </row>
    <row r="124" spans="1:23" ht="13.9" customHeight="1">
      <c r="A124" s="545"/>
      <c r="B124" s="545"/>
      <c r="C124" s="545"/>
      <c r="D124" s="546"/>
      <c r="E124" s="547"/>
      <c r="F124" s="548"/>
      <c r="G124" s="548"/>
      <c r="H124" s="548"/>
      <c r="I124" s="548"/>
      <c r="J124" s="548"/>
      <c r="K124" s="549"/>
      <c r="L124" s="546"/>
      <c r="M124" s="546"/>
      <c r="N124" s="546"/>
      <c r="O124" s="546"/>
      <c r="P124" s="545"/>
      <c r="Q124" s="545"/>
      <c r="R124" s="545"/>
      <c r="S124" s="545"/>
      <c r="T124" s="545"/>
      <c r="U124" s="545"/>
      <c r="V124" s="545"/>
      <c r="W124" s="545"/>
    </row>
    <row r="125" spans="1:23" ht="13.9" customHeight="1">
      <c r="A125" s="545"/>
      <c r="B125" s="545"/>
      <c r="C125" s="545"/>
      <c r="D125" s="546"/>
      <c r="E125" s="547"/>
      <c r="F125" s="548"/>
      <c r="G125" s="548"/>
      <c r="H125" s="548"/>
      <c r="I125" s="548"/>
      <c r="J125" s="548"/>
      <c r="K125" s="549"/>
      <c r="L125" s="546"/>
      <c r="M125" s="546"/>
      <c r="N125" s="546"/>
      <c r="O125" s="546"/>
      <c r="P125" s="545"/>
      <c r="Q125" s="545"/>
      <c r="R125" s="545"/>
      <c r="S125" s="545"/>
      <c r="T125" s="545"/>
      <c r="U125" s="545"/>
      <c r="V125" s="545"/>
      <c r="W125" s="545"/>
    </row>
    <row r="126" spans="1:23" ht="13.9" customHeight="1">
      <c r="A126" s="545"/>
      <c r="B126" s="545"/>
      <c r="C126" s="545"/>
      <c r="D126" s="546"/>
      <c r="E126" s="547"/>
      <c r="F126" s="548"/>
      <c r="G126" s="548"/>
      <c r="H126" s="548"/>
      <c r="I126" s="548"/>
      <c r="J126" s="548"/>
      <c r="K126" s="549"/>
      <c r="L126" s="546"/>
      <c r="M126" s="546"/>
      <c r="N126" s="546"/>
      <c r="O126" s="546"/>
      <c r="P126" s="545"/>
      <c r="Q126" s="545"/>
      <c r="R126" s="545"/>
      <c r="S126" s="545"/>
      <c r="T126" s="545"/>
      <c r="U126" s="545"/>
      <c r="V126" s="545"/>
      <c r="W126" s="545"/>
    </row>
    <row r="127" spans="1:23" ht="13.9" customHeight="1">
      <c r="A127" s="545"/>
      <c r="B127" s="545"/>
      <c r="C127" s="545"/>
      <c r="D127" s="546"/>
      <c r="E127" s="547"/>
      <c r="F127" s="548"/>
      <c r="G127" s="548"/>
      <c r="H127" s="548"/>
      <c r="I127" s="548"/>
      <c r="J127" s="548"/>
      <c r="K127" s="549"/>
      <c r="L127" s="546"/>
      <c r="M127" s="546"/>
      <c r="N127" s="546"/>
      <c r="O127" s="546"/>
      <c r="P127" s="545"/>
      <c r="Q127" s="545"/>
      <c r="R127" s="545"/>
      <c r="S127" s="545"/>
      <c r="T127" s="545"/>
      <c r="U127" s="545"/>
      <c r="V127" s="545"/>
      <c r="W127" s="545"/>
    </row>
    <row r="128" spans="1:23" ht="13.9" customHeight="1">
      <c r="A128" s="545"/>
      <c r="B128" s="545"/>
      <c r="C128" s="545"/>
      <c r="D128" s="546"/>
      <c r="E128" s="547"/>
      <c r="F128" s="548"/>
      <c r="G128" s="548"/>
      <c r="H128" s="548"/>
      <c r="I128" s="548"/>
      <c r="J128" s="548"/>
      <c r="K128" s="549"/>
      <c r="L128" s="546"/>
      <c r="M128" s="546"/>
      <c r="N128" s="546"/>
      <c r="O128" s="546"/>
      <c r="P128" s="545"/>
      <c r="Q128" s="545"/>
      <c r="R128" s="545"/>
      <c r="S128" s="545"/>
      <c r="T128" s="545"/>
      <c r="U128" s="545"/>
      <c r="V128" s="545"/>
      <c r="W128" s="545"/>
    </row>
    <row r="129" spans="1:23" ht="13.9" customHeight="1">
      <c r="A129" s="545"/>
      <c r="B129" s="545"/>
      <c r="C129" s="545"/>
      <c r="D129" s="546"/>
      <c r="E129" s="547"/>
      <c r="F129" s="548"/>
      <c r="G129" s="548"/>
      <c r="H129" s="548"/>
      <c r="I129" s="548"/>
      <c r="J129" s="548"/>
      <c r="K129" s="549"/>
      <c r="L129" s="546"/>
      <c r="M129" s="546"/>
      <c r="N129" s="546"/>
      <c r="O129" s="546"/>
      <c r="P129" s="545"/>
      <c r="Q129" s="545"/>
      <c r="R129" s="545"/>
      <c r="S129" s="545"/>
      <c r="T129" s="545"/>
      <c r="U129" s="545"/>
      <c r="V129" s="545"/>
      <c r="W129" s="545"/>
    </row>
    <row r="130" spans="1:23" ht="13.9" customHeight="1">
      <c r="A130" s="545"/>
      <c r="B130" s="545"/>
      <c r="C130" s="545"/>
      <c r="D130" s="546"/>
      <c r="E130" s="547"/>
      <c r="F130" s="548"/>
      <c r="G130" s="548"/>
      <c r="H130" s="548"/>
      <c r="I130" s="548"/>
      <c r="J130" s="548"/>
      <c r="K130" s="549"/>
      <c r="L130" s="546"/>
      <c r="M130" s="546"/>
      <c r="N130" s="546"/>
      <c r="O130" s="546"/>
      <c r="P130" s="545"/>
      <c r="Q130" s="545"/>
      <c r="R130" s="545"/>
      <c r="S130" s="545"/>
      <c r="T130" s="545"/>
      <c r="U130" s="545"/>
      <c r="V130" s="545"/>
      <c r="W130" s="545"/>
    </row>
    <row r="131" spans="1:23" ht="13.9" customHeight="1">
      <c r="A131" s="545"/>
      <c r="B131" s="545"/>
      <c r="C131" s="545"/>
      <c r="D131" s="546"/>
      <c r="E131" s="547"/>
      <c r="F131" s="548"/>
      <c r="G131" s="548"/>
      <c r="H131" s="548"/>
      <c r="I131" s="548"/>
      <c r="J131" s="548"/>
      <c r="K131" s="549"/>
      <c r="L131" s="546"/>
      <c r="M131" s="546"/>
      <c r="N131" s="546"/>
      <c r="O131" s="546"/>
      <c r="P131" s="545"/>
      <c r="Q131" s="545"/>
      <c r="R131" s="545"/>
      <c r="S131" s="545"/>
      <c r="T131" s="545"/>
      <c r="U131" s="545"/>
      <c r="V131" s="545"/>
      <c r="W131" s="545"/>
    </row>
    <row r="132" spans="1:23" ht="13.9" customHeight="1">
      <c r="A132" s="545"/>
      <c r="B132" s="545"/>
      <c r="C132" s="545"/>
      <c r="D132" s="546"/>
      <c r="E132" s="547"/>
      <c r="F132" s="548"/>
      <c r="G132" s="548"/>
      <c r="H132" s="548"/>
      <c r="I132" s="548"/>
      <c r="J132" s="548"/>
      <c r="K132" s="549"/>
      <c r="L132" s="546"/>
      <c r="M132" s="546"/>
      <c r="N132" s="546"/>
      <c r="O132" s="546"/>
      <c r="P132" s="545"/>
      <c r="Q132" s="545"/>
      <c r="R132" s="545"/>
      <c r="S132" s="545"/>
      <c r="T132" s="545"/>
      <c r="U132" s="545"/>
      <c r="V132" s="545"/>
      <c r="W132" s="545"/>
    </row>
    <row r="133" spans="1:23" ht="13.9" customHeight="1">
      <c r="A133" s="545"/>
      <c r="B133" s="545"/>
      <c r="C133" s="545"/>
      <c r="D133" s="546"/>
      <c r="E133" s="547"/>
      <c r="F133" s="548"/>
      <c r="G133" s="548"/>
      <c r="H133" s="548"/>
      <c r="I133" s="548"/>
      <c r="J133" s="548"/>
      <c r="K133" s="549"/>
      <c r="L133" s="546"/>
      <c r="M133" s="546"/>
      <c r="N133" s="546"/>
      <c r="O133" s="546"/>
      <c r="P133" s="545"/>
      <c r="Q133" s="545"/>
      <c r="R133" s="545"/>
      <c r="S133" s="545"/>
      <c r="T133" s="545"/>
      <c r="U133" s="545"/>
      <c r="V133" s="545"/>
      <c r="W133" s="545"/>
    </row>
    <row r="134" spans="1:23" ht="13.9" customHeight="1">
      <c r="A134" s="545"/>
      <c r="B134" s="545"/>
      <c r="C134" s="545"/>
      <c r="D134" s="546"/>
      <c r="E134" s="547"/>
      <c r="F134" s="548"/>
      <c r="G134" s="548"/>
      <c r="H134" s="548"/>
      <c r="I134" s="548"/>
      <c r="J134" s="548"/>
      <c r="K134" s="549"/>
      <c r="L134" s="546"/>
      <c r="M134" s="546"/>
      <c r="N134" s="546"/>
      <c r="O134" s="546"/>
      <c r="P134" s="545"/>
      <c r="Q134" s="545"/>
      <c r="R134" s="545"/>
      <c r="S134" s="545"/>
      <c r="T134" s="545"/>
      <c r="U134" s="545"/>
      <c r="V134" s="545"/>
      <c r="W134" s="545"/>
    </row>
    <row r="135" spans="1:23" ht="13.9" customHeight="1">
      <c r="A135" s="545"/>
      <c r="B135" s="545"/>
      <c r="C135" s="545"/>
      <c r="D135" s="546"/>
      <c r="E135" s="547"/>
      <c r="F135" s="548"/>
      <c r="G135" s="548"/>
      <c r="H135" s="548"/>
      <c r="I135" s="548"/>
      <c r="J135" s="548"/>
      <c r="K135" s="549"/>
      <c r="L135" s="546"/>
      <c r="M135" s="546"/>
      <c r="N135" s="546"/>
      <c r="O135" s="546"/>
      <c r="P135" s="545"/>
      <c r="Q135" s="545"/>
      <c r="R135" s="545"/>
      <c r="S135" s="545"/>
      <c r="T135" s="545"/>
      <c r="U135" s="545"/>
      <c r="V135" s="545"/>
      <c r="W135" s="545"/>
    </row>
    <row r="136" spans="1:23" ht="13.9" customHeight="1">
      <c r="A136" s="545"/>
      <c r="B136" s="545"/>
      <c r="C136" s="545"/>
      <c r="D136" s="546"/>
      <c r="E136" s="547"/>
      <c r="F136" s="548"/>
      <c r="G136" s="548"/>
      <c r="H136" s="548"/>
      <c r="I136" s="548"/>
      <c r="J136" s="548"/>
      <c r="K136" s="549"/>
      <c r="L136" s="546"/>
      <c r="M136" s="546"/>
      <c r="N136" s="546"/>
      <c r="O136" s="546"/>
      <c r="P136" s="545"/>
      <c r="Q136" s="545"/>
      <c r="R136" s="545"/>
      <c r="S136" s="545"/>
      <c r="T136" s="545"/>
      <c r="U136" s="545"/>
      <c r="V136" s="545"/>
      <c r="W136" s="545"/>
    </row>
    <row r="137" spans="1:23" ht="13.9" customHeight="1">
      <c r="A137" s="545"/>
      <c r="B137" s="545"/>
      <c r="C137" s="545"/>
      <c r="D137" s="546"/>
      <c r="E137" s="547"/>
      <c r="F137" s="548"/>
      <c r="G137" s="548"/>
      <c r="H137" s="548"/>
      <c r="I137" s="548"/>
      <c r="J137" s="548"/>
      <c r="K137" s="549"/>
      <c r="L137" s="546"/>
      <c r="M137" s="546"/>
      <c r="N137" s="546"/>
      <c r="O137" s="546"/>
      <c r="P137" s="545"/>
      <c r="Q137" s="545"/>
      <c r="R137" s="545"/>
      <c r="S137" s="545"/>
      <c r="T137" s="545"/>
      <c r="U137" s="545"/>
      <c r="V137" s="545"/>
      <c r="W137" s="545"/>
    </row>
    <row r="138" spans="1:23" ht="13.9" customHeight="1">
      <c r="A138" s="545"/>
      <c r="B138" s="545"/>
      <c r="C138" s="545"/>
      <c r="D138" s="546"/>
      <c r="E138" s="547"/>
      <c r="F138" s="548"/>
      <c r="G138" s="548"/>
      <c r="H138" s="548"/>
      <c r="I138" s="548"/>
      <c r="J138" s="548"/>
      <c r="K138" s="549"/>
      <c r="L138" s="546"/>
      <c r="M138" s="546"/>
      <c r="N138" s="546"/>
      <c r="O138" s="546"/>
      <c r="P138" s="545"/>
      <c r="Q138" s="545"/>
      <c r="R138" s="545"/>
      <c r="S138" s="545"/>
      <c r="T138" s="545"/>
      <c r="U138" s="545"/>
      <c r="V138" s="545"/>
      <c r="W138" s="545"/>
    </row>
    <row r="139" spans="1:23" ht="13.9" customHeight="1">
      <c r="A139" s="545"/>
      <c r="B139" s="545"/>
      <c r="C139" s="545"/>
      <c r="D139" s="546"/>
      <c r="E139" s="547"/>
      <c r="F139" s="548"/>
      <c r="G139" s="548"/>
      <c r="H139" s="548"/>
      <c r="I139" s="548"/>
      <c r="J139" s="548"/>
      <c r="K139" s="549"/>
      <c r="L139" s="546"/>
      <c r="M139" s="546"/>
      <c r="N139" s="546"/>
      <c r="O139" s="546"/>
      <c r="P139" s="545"/>
      <c r="Q139" s="545"/>
      <c r="R139" s="545"/>
      <c r="S139" s="545"/>
      <c r="T139" s="545"/>
      <c r="U139" s="545"/>
      <c r="V139" s="545"/>
      <c r="W139" s="545"/>
    </row>
    <row r="140" spans="1:23" ht="13.9" customHeight="1">
      <c r="A140" s="545"/>
      <c r="B140" s="545"/>
      <c r="C140" s="545"/>
      <c r="D140" s="546"/>
      <c r="E140" s="547"/>
      <c r="F140" s="548"/>
      <c r="G140" s="548"/>
      <c r="H140" s="548"/>
      <c r="I140" s="548"/>
      <c r="J140" s="548"/>
      <c r="K140" s="549"/>
      <c r="L140" s="546"/>
      <c r="M140" s="546"/>
      <c r="N140" s="546"/>
      <c r="O140" s="546"/>
      <c r="P140" s="545"/>
      <c r="Q140" s="545"/>
      <c r="R140" s="545"/>
      <c r="S140" s="545"/>
      <c r="T140" s="545"/>
      <c r="U140" s="545"/>
      <c r="V140" s="545"/>
      <c r="W140" s="545"/>
    </row>
    <row r="141" spans="1:23" ht="13.9" customHeight="1">
      <c r="A141" s="545"/>
      <c r="B141" s="545"/>
      <c r="C141" s="545"/>
      <c r="D141" s="546"/>
      <c r="E141" s="547"/>
      <c r="F141" s="548"/>
      <c r="G141" s="548"/>
      <c r="H141" s="548"/>
      <c r="I141" s="548"/>
      <c r="J141" s="548"/>
      <c r="K141" s="549"/>
      <c r="L141" s="546"/>
      <c r="M141" s="546"/>
      <c r="N141" s="546"/>
      <c r="O141" s="546"/>
      <c r="P141" s="545"/>
      <c r="Q141" s="545"/>
      <c r="R141" s="545"/>
      <c r="S141" s="545"/>
      <c r="T141" s="545"/>
      <c r="U141" s="545"/>
      <c r="V141" s="545"/>
      <c r="W141" s="545"/>
    </row>
    <row r="142" spans="1:23" ht="13.9" customHeight="1">
      <c r="A142" s="545"/>
      <c r="B142" s="545"/>
      <c r="C142" s="545"/>
      <c r="D142" s="546"/>
      <c r="E142" s="547"/>
      <c r="F142" s="548"/>
      <c r="G142" s="548"/>
      <c r="H142" s="548"/>
      <c r="I142" s="548"/>
      <c r="J142" s="548"/>
      <c r="K142" s="549"/>
      <c r="L142" s="546"/>
      <c r="M142" s="546"/>
      <c r="N142" s="546"/>
      <c r="O142" s="546"/>
      <c r="P142" s="545"/>
      <c r="Q142" s="545"/>
      <c r="R142" s="545"/>
      <c r="S142" s="545"/>
      <c r="T142" s="545"/>
      <c r="U142" s="545"/>
      <c r="V142" s="545"/>
      <c r="W142" s="545"/>
    </row>
    <row r="143" spans="1:23" ht="13.9" customHeight="1">
      <c r="A143" s="545"/>
      <c r="B143" s="545"/>
      <c r="C143" s="545"/>
      <c r="D143" s="546"/>
      <c r="E143" s="547"/>
      <c r="F143" s="548"/>
      <c r="G143" s="548"/>
      <c r="H143" s="548"/>
      <c r="I143" s="548"/>
      <c r="J143" s="548"/>
      <c r="K143" s="549"/>
      <c r="L143" s="546"/>
      <c r="M143" s="546"/>
      <c r="N143" s="546"/>
      <c r="O143" s="546"/>
      <c r="P143" s="545"/>
      <c r="Q143" s="545"/>
      <c r="R143" s="545"/>
      <c r="S143" s="545"/>
      <c r="T143" s="545"/>
      <c r="U143" s="545"/>
      <c r="V143" s="545"/>
      <c r="W143" s="545"/>
    </row>
    <row r="144" spans="1:23" ht="13.9" customHeight="1">
      <c r="A144" s="545"/>
      <c r="B144" s="545"/>
      <c r="C144" s="545"/>
      <c r="D144" s="546"/>
      <c r="E144" s="547"/>
      <c r="F144" s="548"/>
      <c r="G144" s="548"/>
      <c r="H144" s="548"/>
      <c r="I144" s="548"/>
      <c r="J144" s="548"/>
      <c r="K144" s="549"/>
      <c r="L144" s="546"/>
      <c r="M144" s="546"/>
      <c r="N144" s="546"/>
      <c r="O144" s="546"/>
      <c r="P144" s="545"/>
      <c r="Q144" s="545"/>
      <c r="R144" s="545"/>
      <c r="S144" s="545"/>
      <c r="T144" s="545"/>
      <c r="U144" s="545"/>
      <c r="V144" s="545"/>
      <c r="W144" s="545"/>
    </row>
    <row r="145" spans="1:23" ht="13.9" customHeight="1">
      <c r="A145" s="545"/>
      <c r="B145" s="545"/>
      <c r="C145" s="545"/>
      <c r="D145" s="546"/>
      <c r="E145" s="547"/>
      <c r="F145" s="548"/>
      <c r="G145" s="548"/>
      <c r="H145" s="548"/>
      <c r="I145" s="548"/>
      <c r="J145" s="548"/>
      <c r="K145" s="549"/>
      <c r="L145" s="546"/>
      <c r="M145" s="546"/>
      <c r="N145" s="546"/>
      <c r="O145" s="546"/>
      <c r="P145" s="545"/>
      <c r="Q145" s="545"/>
      <c r="R145" s="545"/>
      <c r="S145" s="545"/>
      <c r="T145" s="545"/>
      <c r="U145" s="545"/>
      <c r="V145" s="545"/>
      <c r="W145" s="545"/>
    </row>
    <row r="146" spans="1:23" ht="13.9" customHeight="1">
      <c r="A146" s="545"/>
      <c r="B146" s="545"/>
      <c r="C146" s="545"/>
      <c r="D146" s="546"/>
      <c r="E146" s="547"/>
      <c r="F146" s="548"/>
      <c r="G146" s="548"/>
      <c r="H146" s="548"/>
      <c r="I146" s="548"/>
      <c r="J146" s="548"/>
      <c r="K146" s="549"/>
      <c r="L146" s="546"/>
      <c r="M146" s="546"/>
      <c r="N146" s="546"/>
      <c r="O146" s="546"/>
      <c r="P146" s="545"/>
      <c r="Q146" s="545"/>
      <c r="R146" s="545"/>
      <c r="S146" s="545"/>
      <c r="T146" s="545"/>
      <c r="U146" s="545"/>
      <c r="V146" s="545"/>
      <c r="W146" s="545"/>
    </row>
    <row r="147" spans="1:23" ht="13.9" customHeight="1">
      <c r="A147" s="545"/>
      <c r="B147" s="545"/>
      <c r="C147" s="545"/>
      <c r="D147" s="546"/>
      <c r="E147" s="547"/>
      <c r="F147" s="548"/>
      <c r="G147" s="548"/>
      <c r="H147" s="548"/>
      <c r="I147" s="548"/>
      <c r="J147" s="548"/>
      <c r="K147" s="549"/>
      <c r="L147" s="546"/>
      <c r="M147" s="546"/>
      <c r="N147" s="546"/>
      <c r="O147" s="546"/>
      <c r="P147" s="545"/>
      <c r="Q147" s="545"/>
      <c r="R147" s="545"/>
      <c r="S147" s="545"/>
      <c r="T147" s="545"/>
      <c r="U147" s="545"/>
      <c r="V147" s="545"/>
      <c r="W147" s="545"/>
    </row>
    <row r="148" spans="1:23" ht="13.9" customHeight="1">
      <c r="A148" s="545"/>
      <c r="B148" s="545"/>
      <c r="C148" s="545"/>
      <c r="D148" s="546"/>
      <c r="E148" s="547"/>
      <c r="F148" s="548"/>
      <c r="G148" s="548"/>
      <c r="H148" s="548"/>
      <c r="I148" s="548"/>
      <c r="J148" s="548"/>
      <c r="K148" s="549"/>
      <c r="L148" s="546"/>
      <c r="M148" s="546"/>
      <c r="N148" s="546"/>
      <c r="O148" s="546"/>
      <c r="P148" s="545"/>
      <c r="Q148" s="545"/>
      <c r="R148" s="545"/>
      <c r="S148" s="545"/>
      <c r="T148" s="545"/>
      <c r="U148" s="545"/>
      <c r="V148" s="545"/>
      <c r="W148" s="545"/>
    </row>
    <row r="149" spans="1:23" ht="13.9" customHeight="1">
      <c r="A149" s="545"/>
      <c r="B149" s="545"/>
      <c r="C149" s="545"/>
      <c r="D149" s="546"/>
      <c r="E149" s="547"/>
      <c r="F149" s="548"/>
      <c r="G149" s="548"/>
      <c r="H149" s="548"/>
      <c r="I149" s="548"/>
      <c r="J149" s="548"/>
      <c r="K149" s="549"/>
      <c r="L149" s="546"/>
      <c r="M149" s="546"/>
      <c r="N149" s="546"/>
      <c r="O149" s="546"/>
      <c r="P149" s="545"/>
      <c r="Q149" s="545"/>
      <c r="R149" s="545"/>
      <c r="S149" s="545"/>
      <c r="T149" s="545"/>
      <c r="U149" s="545"/>
      <c r="V149" s="545"/>
      <c r="W149" s="545"/>
    </row>
    <row r="150" spans="1:23" ht="13.9" customHeight="1">
      <c r="A150" s="545"/>
      <c r="B150" s="545"/>
      <c r="C150" s="545"/>
      <c r="D150" s="546"/>
      <c r="E150" s="547"/>
      <c r="F150" s="548"/>
      <c r="G150" s="548"/>
      <c r="H150" s="548"/>
      <c r="I150" s="548"/>
      <c r="J150" s="548"/>
      <c r="K150" s="549"/>
      <c r="L150" s="546"/>
      <c r="M150" s="546"/>
      <c r="N150" s="546"/>
      <c r="O150" s="546"/>
      <c r="P150" s="545"/>
      <c r="Q150" s="545"/>
      <c r="R150" s="545"/>
      <c r="S150" s="545"/>
      <c r="T150" s="545"/>
      <c r="U150" s="545"/>
      <c r="V150" s="545"/>
      <c r="W150" s="545"/>
    </row>
    <row r="151" spans="1:23" ht="13.9" customHeight="1">
      <c r="A151" s="545"/>
      <c r="B151" s="545"/>
      <c r="C151" s="545"/>
      <c r="D151" s="546"/>
      <c r="E151" s="547"/>
      <c r="F151" s="548"/>
      <c r="G151" s="548"/>
      <c r="H151" s="548"/>
      <c r="I151" s="548"/>
      <c r="J151" s="548"/>
      <c r="K151" s="549"/>
      <c r="L151" s="546"/>
      <c r="M151" s="546"/>
      <c r="N151" s="546"/>
      <c r="O151" s="546"/>
      <c r="P151" s="545"/>
      <c r="Q151" s="545"/>
      <c r="R151" s="545"/>
      <c r="S151" s="545"/>
      <c r="T151" s="545"/>
      <c r="U151" s="545"/>
      <c r="V151" s="545"/>
      <c r="W151" s="545"/>
    </row>
    <row r="152" spans="1:23" ht="13.9" customHeight="1">
      <c r="A152" s="545"/>
      <c r="B152" s="545"/>
      <c r="C152" s="545"/>
      <c r="D152" s="546"/>
      <c r="E152" s="547"/>
      <c r="F152" s="548"/>
      <c r="G152" s="548"/>
      <c r="H152" s="548"/>
      <c r="I152" s="548"/>
      <c r="J152" s="548"/>
      <c r="K152" s="549"/>
      <c r="L152" s="546"/>
      <c r="M152" s="546"/>
      <c r="N152" s="546"/>
      <c r="O152" s="546"/>
      <c r="P152" s="545"/>
      <c r="Q152" s="545"/>
      <c r="R152" s="545"/>
      <c r="S152" s="545"/>
      <c r="T152" s="545"/>
      <c r="U152" s="545"/>
      <c r="V152" s="545"/>
      <c r="W152" s="545"/>
    </row>
    <row r="153" spans="1:23" ht="13.9" customHeight="1">
      <c r="A153" s="545"/>
      <c r="B153" s="545"/>
      <c r="C153" s="545"/>
      <c r="D153" s="546"/>
      <c r="E153" s="547"/>
      <c r="F153" s="548"/>
      <c r="G153" s="548"/>
      <c r="H153" s="548"/>
      <c r="I153" s="548"/>
      <c r="J153" s="548"/>
      <c r="K153" s="549"/>
      <c r="L153" s="546"/>
      <c r="M153" s="546"/>
      <c r="N153" s="546"/>
      <c r="O153" s="546"/>
      <c r="P153" s="545"/>
      <c r="Q153" s="545"/>
      <c r="R153" s="545"/>
      <c r="S153" s="545"/>
      <c r="T153" s="545"/>
      <c r="U153" s="545"/>
      <c r="V153" s="545"/>
      <c r="W153" s="545"/>
    </row>
    <row r="154" spans="1:23" ht="13.9" customHeight="1">
      <c r="A154" s="545"/>
      <c r="B154" s="545"/>
      <c r="C154" s="545"/>
      <c r="D154" s="546"/>
      <c r="E154" s="547"/>
      <c r="F154" s="548"/>
      <c r="G154" s="548"/>
      <c r="H154" s="548"/>
      <c r="I154" s="548"/>
      <c r="J154" s="548"/>
      <c r="K154" s="549"/>
      <c r="L154" s="546"/>
      <c r="M154" s="546"/>
      <c r="N154" s="546"/>
      <c r="O154" s="546"/>
      <c r="P154" s="545"/>
      <c r="Q154" s="545"/>
      <c r="R154" s="545"/>
      <c r="S154" s="545"/>
      <c r="T154" s="545"/>
      <c r="U154" s="545"/>
      <c r="V154" s="545"/>
      <c r="W154" s="545"/>
    </row>
    <row r="155" spans="1:23" ht="13.9" customHeight="1">
      <c r="A155" s="545"/>
      <c r="B155" s="545"/>
      <c r="C155" s="545"/>
      <c r="D155" s="546"/>
      <c r="E155" s="547"/>
      <c r="F155" s="548"/>
      <c r="G155" s="548"/>
      <c r="H155" s="548"/>
      <c r="I155" s="548"/>
      <c r="J155" s="548"/>
      <c r="K155" s="549"/>
      <c r="L155" s="546"/>
      <c r="M155" s="546"/>
      <c r="N155" s="546"/>
      <c r="O155" s="546"/>
      <c r="P155" s="545"/>
      <c r="Q155" s="545"/>
      <c r="R155" s="545"/>
      <c r="S155" s="545"/>
      <c r="T155" s="545"/>
      <c r="U155" s="545"/>
      <c r="V155" s="545"/>
      <c r="W155" s="545"/>
    </row>
    <row r="156" spans="1:23" ht="13.9" customHeight="1">
      <c r="A156" s="545"/>
      <c r="B156" s="545"/>
      <c r="C156" s="545"/>
      <c r="D156" s="546"/>
      <c r="E156" s="547"/>
      <c r="F156" s="548"/>
      <c r="G156" s="548"/>
      <c r="H156" s="548"/>
      <c r="I156" s="548"/>
      <c r="J156" s="548"/>
      <c r="K156" s="549"/>
      <c r="L156" s="546"/>
      <c r="M156" s="546"/>
      <c r="N156" s="546"/>
      <c r="O156" s="546"/>
      <c r="P156" s="545"/>
      <c r="Q156" s="545"/>
      <c r="R156" s="545"/>
      <c r="S156" s="545"/>
      <c r="T156" s="545"/>
      <c r="U156" s="545"/>
      <c r="V156" s="545"/>
      <c r="W156" s="545"/>
    </row>
    <row r="157" spans="1:23" ht="13.9" customHeight="1">
      <c r="A157" s="545"/>
      <c r="B157" s="545"/>
      <c r="C157" s="545"/>
      <c r="D157" s="546"/>
      <c r="E157" s="547"/>
      <c r="F157" s="548"/>
      <c r="G157" s="548"/>
      <c r="H157" s="548"/>
      <c r="I157" s="548"/>
      <c r="J157" s="548"/>
      <c r="K157" s="549"/>
      <c r="L157" s="546"/>
      <c r="M157" s="546"/>
      <c r="N157" s="546"/>
      <c r="O157" s="546"/>
      <c r="P157" s="545"/>
      <c r="Q157" s="545"/>
      <c r="R157" s="545"/>
      <c r="S157" s="545"/>
      <c r="T157" s="545"/>
      <c r="U157" s="545"/>
      <c r="V157" s="545"/>
      <c r="W157" s="545"/>
    </row>
    <row r="158" spans="1:23" ht="13.9" customHeight="1">
      <c r="A158" s="545"/>
      <c r="B158" s="545"/>
      <c r="C158" s="545"/>
      <c r="D158" s="546"/>
      <c r="E158" s="547"/>
      <c r="F158" s="548"/>
      <c r="G158" s="548"/>
      <c r="H158" s="548"/>
      <c r="I158" s="548"/>
      <c r="J158" s="548"/>
      <c r="K158" s="549"/>
      <c r="L158" s="546"/>
      <c r="M158" s="546"/>
      <c r="N158" s="546"/>
      <c r="O158" s="546"/>
      <c r="P158" s="545"/>
      <c r="Q158" s="545"/>
      <c r="R158" s="545"/>
      <c r="S158" s="545"/>
      <c r="T158" s="545"/>
      <c r="U158" s="545"/>
      <c r="V158" s="545"/>
      <c r="W158" s="545"/>
    </row>
    <row r="159" spans="1:23" ht="13.9" customHeight="1">
      <c r="A159" s="545"/>
      <c r="B159" s="545"/>
      <c r="C159" s="545"/>
      <c r="D159" s="546"/>
      <c r="E159" s="547"/>
      <c r="F159" s="548"/>
      <c r="G159" s="548"/>
      <c r="H159" s="548"/>
      <c r="I159" s="548"/>
      <c r="J159" s="548"/>
      <c r="K159" s="549"/>
      <c r="L159" s="546"/>
      <c r="M159" s="546"/>
      <c r="N159" s="546"/>
      <c r="O159" s="546"/>
      <c r="P159" s="545"/>
      <c r="Q159" s="545"/>
      <c r="R159" s="545"/>
      <c r="S159" s="545"/>
      <c r="T159" s="545"/>
      <c r="U159" s="545"/>
      <c r="V159" s="545"/>
      <c r="W159" s="545"/>
    </row>
    <row r="160" spans="1:23" ht="13.9" customHeight="1">
      <c r="A160" s="545"/>
      <c r="B160" s="545"/>
      <c r="C160" s="545"/>
      <c r="D160" s="546"/>
      <c r="E160" s="547"/>
      <c r="F160" s="548"/>
      <c r="G160" s="548"/>
      <c r="H160" s="548"/>
      <c r="I160" s="548"/>
      <c r="J160" s="548"/>
      <c r="K160" s="549"/>
      <c r="L160" s="546"/>
      <c r="M160" s="546"/>
      <c r="N160" s="546"/>
      <c r="O160" s="546"/>
      <c r="P160" s="545"/>
      <c r="Q160" s="545"/>
      <c r="R160" s="545"/>
      <c r="S160" s="545"/>
      <c r="T160" s="545"/>
      <c r="U160" s="545"/>
      <c r="V160" s="545"/>
      <c r="W160" s="545"/>
    </row>
    <row r="161" spans="1:23" ht="13.9" customHeight="1">
      <c r="A161" s="545"/>
      <c r="B161" s="545"/>
      <c r="C161" s="545"/>
      <c r="D161" s="546"/>
      <c r="E161" s="547"/>
      <c r="F161" s="548"/>
      <c r="G161" s="548"/>
      <c r="H161" s="548"/>
      <c r="I161" s="548"/>
      <c r="J161" s="548"/>
      <c r="K161" s="549"/>
      <c r="L161" s="546"/>
      <c r="M161" s="546"/>
      <c r="N161" s="546"/>
      <c r="O161" s="546"/>
      <c r="P161" s="545"/>
      <c r="Q161" s="545"/>
      <c r="R161" s="545"/>
      <c r="S161" s="545"/>
      <c r="T161" s="545"/>
      <c r="U161" s="545"/>
      <c r="V161" s="545"/>
      <c r="W161" s="545"/>
    </row>
    <row r="162" spans="1:23" ht="13.9" customHeight="1">
      <c r="A162" s="545"/>
      <c r="B162" s="545"/>
      <c r="C162" s="545"/>
      <c r="D162" s="546"/>
      <c r="E162" s="547"/>
      <c r="F162" s="548"/>
      <c r="G162" s="548"/>
      <c r="H162" s="548"/>
      <c r="I162" s="548"/>
      <c r="J162" s="548"/>
      <c r="K162" s="549"/>
      <c r="L162" s="546"/>
      <c r="M162" s="546"/>
      <c r="N162" s="546"/>
      <c r="O162" s="546"/>
      <c r="P162" s="545"/>
      <c r="Q162" s="545"/>
      <c r="R162" s="545"/>
      <c r="S162" s="545"/>
      <c r="T162" s="545"/>
      <c r="U162" s="545"/>
      <c r="V162" s="545"/>
      <c r="W162" s="545"/>
    </row>
    <row r="163" spans="1:23" ht="13.9" customHeight="1">
      <c r="A163" s="545"/>
      <c r="B163" s="545"/>
      <c r="C163" s="545"/>
      <c r="D163" s="546"/>
      <c r="E163" s="547"/>
      <c r="F163" s="548"/>
      <c r="G163" s="548"/>
      <c r="H163" s="548"/>
      <c r="I163" s="548"/>
      <c r="J163" s="548"/>
      <c r="K163" s="549"/>
      <c r="L163" s="546"/>
      <c r="M163" s="546"/>
      <c r="N163" s="546"/>
      <c r="O163" s="546"/>
      <c r="P163" s="545"/>
      <c r="Q163" s="545"/>
      <c r="R163" s="545"/>
      <c r="S163" s="545"/>
      <c r="T163" s="545"/>
      <c r="U163" s="545"/>
      <c r="V163" s="545"/>
      <c r="W163" s="545"/>
    </row>
    <row r="164" spans="1:23" ht="13.9" customHeight="1">
      <c r="A164" s="545"/>
      <c r="B164" s="545"/>
      <c r="C164" s="545"/>
      <c r="D164" s="546"/>
      <c r="E164" s="547"/>
      <c r="F164" s="548"/>
      <c r="G164" s="548"/>
      <c r="H164" s="548"/>
      <c r="I164" s="548"/>
      <c r="J164" s="548"/>
      <c r="K164" s="549"/>
      <c r="L164" s="546"/>
      <c r="M164" s="546"/>
      <c r="N164" s="546"/>
      <c r="O164" s="546"/>
      <c r="P164" s="545"/>
      <c r="Q164" s="545"/>
      <c r="R164" s="545"/>
      <c r="S164" s="545"/>
      <c r="T164" s="545"/>
      <c r="U164" s="545"/>
      <c r="V164" s="545"/>
      <c r="W164" s="545"/>
    </row>
    <row r="165" spans="1:23" ht="13.9" customHeight="1">
      <c r="A165" s="545"/>
      <c r="B165" s="545"/>
      <c r="C165" s="545"/>
      <c r="D165" s="546"/>
      <c r="E165" s="547"/>
      <c r="F165" s="548"/>
      <c r="G165" s="548"/>
      <c r="H165" s="548"/>
      <c r="I165" s="548"/>
      <c r="J165" s="548"/>
      <c r="K165" s="549"/>
      <c r="L165" s="546"/>
      <c r="M165" s="546"/>
      <c r="N165" s="546"/>
      <c r="O165" s="546"/>
      <c r="P165" s="545"/>
      <c r="Q165" s="545"/>
      <c r="R165" s="545"/>
      <c r="S165" s="545"/>
      <c r="T165" s="545"/>
      <c r="U165" s="545"/>
      <c r="V165" s="545"/>
      <c r="W165" s="545"/>
    </row>
    <row r="166" spans="1:23" ht="13.9" customHeight="1">
      <c r="A166" s="545"/>
      <c r="B166" s="545"/>
      <c r="C166" s="545"/>
      <c r="D166" s="546"/>
      <c r="E166" s="547"/>
      <c r="F166" s="548"/>
      <c r="G166" s="548"/>
      <c r="H166" s="548"/>
      <c r="I166" s="548"/>
      <c r="J166" s="548"/>
      <c r="K166" s="549"/>
      <c r="L166" s="546"/>
      <c r="M166" s="546"/>
      <c r="N166" s="546"/>
      <c r="O166" s="546"/>
      <c r="P166" s="545"/>
      <c r="Q166" s="545"/>
      <c r="R166" s="545"/>
      <c r="S166" s="545"/>
      <c r="T166" s="545"/>
      <c r="U166" s="545"/>
      <c r="V166" s="545"/>
      <c r="W166" s="545"/>
    </row>
    <row r="167" spans="1:23" ht="13.9" customHeight="1">
      <c r="A167" s="545"/>
      <c r="B167" s="545"/>
      <c r="C167" s="545"/>
      <c r="D167" s="546"/>
      <c r="E167" s="547"/>
      <c r="F167" s="548"/>
      <c r="G167" s="548"/>
      <c r="H167" s="548"/>
      <c r="I167" s="548"/>
      <c r="J167" s="548"/>
      <c r="K167" s="549"/>
      <c r="L167" s="546"/>
      <c r="M167" s="546"/>
      <c r="N167" s="546"/>
      <c r="O167" s="546"/>
      <c r="P167" s="545"/>
      <c r="Q167" s="545"/>
      <c r="R167" s="545"/>
      <c r="S167" s="545"/>
      <c r="T167" s="545"/>
      <c r="U167" s="545"/>
      <c r="V167" s="545"/>
      <c r="W167" s="545"/>
    </row>
    <row r="168" spans="1:23" ht="13.9" customHeight="1">
      <c r="A168" s="545"/>
      <c r="B168" s="545"/>
      <c r="C168" s="545"/>
      <c r="D168" s="546"/>
      <c r="E168" s="547"/>
      <c r="F168" s="548"/>
      <c r="G168" s="548"/>
      <c r="H168" s="548"/>
      <c r="I168" s="548"/>
      <c r="J168" s="548"/>
      <c r="K168" s="549"/>
      <c r="L168" s="546"/>
      <c r="M168" s="546"/>
      <c r="N168" s="546"/>
      <c r="O168" s="546"/>
      <c r="P168" s="545"/>
      <c r="Q168" s="545"/>
      <c r="R168" s="545"/>
      <c r="S168" s="545"/>
      <c r="T168" s="545"/>
      <c r="U168" s="545"/>
      <c r="V168" s="545"/>
      <c r="W168" s="545"/>
    </row>
    <row r="169" spans="1:23" ht="13.9" customHeight="1">
      <c r="A169" s="545"/>
      <c r="B169" s="545"/>
      <c r="C169" s="545"/>
      <c r="D169" s="546"/>
      <c r="E169" s="547"/>
      <c r="F169" s="548"/>
      <c r="G169" s="548"/>
      <c r="H169" s="548"/>
      <c r="I169" s="548"/>
      <c r="J169" s="548"/>
      <c r="K169" s="549"/>
      <c r="L169" s="546"/>
      <c r="M169" s="546"/>
      <c r="N169" s="546"/>
      <c r="O169" s="546"/>
      <c r="P169" s="545"/>
      <c r="Q169" s="545"/>
      <c r="R169" s="545"/>
      <c r="S169" s="545"/>
      <c r="T169" s="545"/>
      <c r="U169" s="545"/>
      <c r="V169" s="545"/>
      <c r="W169" s="545"/>
    </row>
    <row r="170" spans="1:23" ht="13.9" customHeight="1">
      <c r="A170" s="545"/>
      <c r="B170" s="545"/>
      <c r="C170" s="545"/>
      <c r="D170" s="546"/>
      <c r="E170" s="547"/>
      <c r="F170" s="548"/>
      <c r="G170" s="548"/>
      <c r="H170" s="548"/>
      <c r="I170" s="548"/>
      <c r="J170" s="548"/>
      <c r="K170" s="549"/>
      <c r="L170" s="546"/>
      <c r="M170" s="546"/>
      <c r="N170" s="546"/>
      <c r="O170" s="546"/>
      <c r="P170" s="545"/>
      <c r="Q170" s="545"/>
      <c r="R170" s="545"/>
      <c r="S170" s="545"/>
      <c r="T170" s="545"/>
      <c r="U170" s="545"/>
      <c r="V170" s="545"/>
      <c r="W170" s="545"/>
    </row>
    <row r="171" spans="1:23" ht="13.9" customHeight="1">
      <c r="A171" s="545"/>
      <c r="B171" s="545"/>
      <c r="C171" s="545"/>
      <c r="D171" s="546"/>
      <c r="E171" s="547"/>
      <c r="F171" s="548"/>
      <c r="G171" s="548"/>
      <c r="H171" s="548"/>
      <c r="I171" s="548"/>
      <c r="J171" s="548"/>
      <c r="K171" s="549"/>
      <c r="L171" s="546"/>
      <c r="M171" s="546"/>
      <c r="N171" s="546"/>
      <c r="O171" s="546"/>
      <c r="P171" s="545"/>
      <c r="Q171" s="545"/>
      <c r="R171" s="545"/>
      <c r="S171" s="545"/>
      <c r="T171" s="545"/>
      <c r="U171" s="545"/>
      <c r="V171" s="545"/>
      <c r="W171" s="545"/>
    </row>
    <row r="172" spans="1:23" ht="13.9" customHeight="1">
      <c r="A172" s="545"/>
      <c r="B172" s="545"/>
      <c r="C172" s="545"/>
      <c r="D172" s="546"/>
      <c r="E172" s="547"/>
      <c r="F172" s="548"/>
      <c r="G172" s="548"/>
      <c r="H172" s="548"/>
      <c r="I172" s="548"/>
      <c r="J172" s="548"/>
      <c r="K172" s="549"/>
      <c r="L172" s="546"/>
      <c r="M172" s="546"/>
      <c r="N172" s="546"/>
      <c r="O172" s="546"/>
      <c r="P172" s="545"/>
      <c r="Q172" s="545"/>
      <c r="R172" s="545"/>
      <c r="S172" s="545"/>
      <c r="T172" s="545"/>
      <c r="U172" s="545"/>
      <c r="V172" s="545"/>
      <c r="W172" s="545"/>
    </row>
    <row r="173" spans="1:23" ht="13.9" customHeight="1">
      <c r="A173" s="545"/>
      <c r="B173" s="545"/>
      <c r="C173" s="545"/>
      <c r="D173" s="546"/>
      <c r="E173" s="547"/>
      <c r="F173" s="548"/>
      <c r="G173" s="548"/>
      <c r="H173" s="548"/>
      <c r="I173" s="548"/>
      <c r="J173" s="548"/>
      <c r="K173" s="549"/>
      <c r="L173" s="546"/>
      <c r="M173" s="546"/>
      <c r="N173" s="546"/>
      <c r="O173" s="546"/>
      <c r="P173" s="545"/>
      <c r="Q173" s="545"/>
      <c r="R173" s="545"/>
      <c r="S173" s="545"/>
      <c r="T173" s="545"/>
      <c r="U173" s="545"/>
      <c r="V173" s="545"/>
      <c r="W173" s="545"/>
    </row>
    <row r="174" spans="1:23" ht="13.9" customHeight="1">
      <c r="A174" s="545"/>
      <c r="B174" s="545"/>
      <c r="C174" s="545"/>
      <c r="D174" s="546"/>
      <c r="E174" s="547"/>
      <c r="F174" s="548"/>
      <c r="G174" s="548"/>
      <c r="H174" s="548"/>
      <c r="I174" s="548"/>
      <c r="J174" s="548"/>
      <c r="K174" s="549"/>
      <c r="L174" s="546"/>
      <c r="M174" s="546"/>
      <c r="N174" s="546"/>
      <c r="O174" s="546"/>
      <c r="P174" s="545"/>
      <c r="Q174" s="545"/>
      <c r="R174" s="545"/>
      <c r="S174" s="545"/>
      <c r="T174" s="545"/>
      <c r="U174" s="545"/>
      <c r="V174" s="545"/>
      <c r="W174" s="545"/>
    </row>
    <row r="175" spans="1:23" ht="13.9" customHeight="1">
      <c r="A175" s="545"/>
      <c r="B175" s="545"/>
      <c r="C175" s="545"/>
      <c r="D175" s="546"/>
      <c r="E175" s="547"/>
      <c r="F175" s="548"/>
      <c r="G175" s="548"/>
      <c r="H175" s="548"/>
      <c r="I175" s="548"/>
      <c r="J175" s="548"/>
      <c r="K175" s="549"/>
      <c r="L175" s="546"/>
      <c r="M175" s="546"/>
      <c r="N175" s="546"/>
      <c r="O175" s="546"/>
      <c r="P175" s="545"/>
      <c r="Q175" s="545"/>
      <c r="R175" s="545"/>
      <c r="S175" s="545"/>
      <c r="T175" s="545"/>
      <c r="U175" s="545"/>
      <c r="V175" s="545"/>
      <c r="W175" s="545"/>
    </row>
    <row r="176" spans="1:23" ht="13.9" customHeight="1">
      <c r="A176" s="545"/>
      <c r="B176" s="545"/>
      <c r="C176" s="545"/>
      <c r="D176" s="546"/>
      <c r="E176" s="547"/>
      <c r="F176" s="548"/>
      <c r="G176" s="548"/>
      <c r="H176" s="548"/>
      <c r="I176" s="548"/>
      <c r="J176" s="548"/>
      <c r="K176" s="549"/>
      <c r="L176" s="546"/>
      <c r="M176" s="546"/>
      <c r="N176" s="546"/>
      <c r="O176" s="546"/>
      <c r="P176" s="545"/>
      <c r="Q176" s="545"/>
      <c r="R176" s="545"/>
      <c r="S176" s="545"/>
      <c r="T176" s="545"/>
      <c r="U176" s="545"/>
      <c r="V176" s="545"/>
      <c r="W176" s="545"/>
    </row>
    <row r="177" spans="1:23" ht="13.9" customHeight="1">
      <c r="A177" s="545"/>
      <c r="B177" s="545"/>
      <c r="C177" s="545"/>
      <c r="D177" s="546"/>
      <c r="E177" s="547"/>
      <c r="F177" s="548"/>
      <c r="G177" s="548"/>
      <c r="H177" s="548"/>
      <c r="I177" s="548"/>
      <c r="J177" s="548"/>
      <c r="K177" s="549"/>
      <c r="L177" s="546"/>
      <c r="M177" s="546"/>
      <c r="N177" s="546"/>
      <c r="O177" s="546"/>
      <c r="P177" s="545"/>
      <c r="Q177" s="545"/>
      <c r="R177" s="545"/>
      <c r="S177" s="545"/>
      <c r="T177" s="545"/>
      <c r="U177" s="545"/>
      <c r="V177" s="545"/>
      <c r="W177" s="545"/>
    </row>
    <row r="178" spans="1:23" ht="13.9" customHeight="1">
      <c r="A178" s="545"/>
      <c r="B178" s="545"/>
      <c r="C178" s="545"/>
      <c r="D178" s="546"/>
      <c r="E178" s="547"/>
      <c r="F178" s="548"/>
      <c r="G178" s="548"/>
      <c r="H178" s="548"/>
      <c r="I178" s="548"/>
      <c r="J178" s="548"/>
      <c r="K178" s="549"/>
      <c r="L178" s="546"/>
      <c r="M178" s="546"/>
      <c r="N178" s="546"/>
      <c r="O178" s="546"/>
      <c r="P178" s="545"/>
      <c r="Q178" s="545"/>
      <c r="R178" s="545"/>
      <c r="S178" s="545"/>
      <c r="T178" s="545"/>
      <c r="U178" s="545"/>
      <c r="V178" s="545"/>
      <c r="W178" s="545"/>
    </row>
    <row r="179" spans="1:23" ht="13.9" customHeight="1">
      <c r="A179" s="545"/>
      <c r="B179" s="545"/>
      <c r="C179" s="545"/>
      <c r="D179" s="546"/>
      <c r="E179" s="547"/>
      <c r="F179" s="548"/>
      <c r="G179" s="548"/>
      <c r="H179" s="548"/>
      <c r="I179" s="548"/>
      <c r="J179" s="548"/>
      <c r="K179" s="549"/>
      <c r="L179" s="546"/>
      <c r="M179" s="546"/>
      <c r="N179" s="546"/>
      <c r="O179" s="546"/>
      <c r="P179" s="545"/>
      <c r="Q179" s="545"/>
      <c r="R179" s="545"/>
      <c r="S179" s="545"/>
      <c r="T179" s="545"/>
      <c r="U179" s="545"/>
      <c r="V179" s="545"/>
      <c r="W179" s="545"/>
    </row>
    <row r="180" spans="1:23" ht="13.9" customHeight="1">
      <c r="A180" s="545"/>
      <c r="B180" s="545"/>
      <c r="C180" s="545"/>
      <c r="D180" s="546"/>
      <c r="E180" s="547"/>
      <c r="F180" s="548"/>
      <c r="G180" s="548"/>
      <c r="H180" s="548"/>
      <c r="I180" s="548"/>
      <c r="J180" s="548"/>
      <c r="K180" s="549"/>
      <c r="L180" s="546"/>
      <c r="M180" s="546"/>
      <c r="N180" s="546"/>
      <c r="O180" s="546"/>
      <c r="P180" s="545"/>
      <c r="Q180" s="545"/>
      <c r="R180" s="545"/>
      <c r="S180" s="545"/>
      <c r="T180" s="545"/>
      <c r="U180" s="545"/>
      <c r="V180" s="545"/>
      <c r="W180" s="545"/>
    </row>
    <row r="181" spans="1:23" ht="13.9" customHeight="1">
      <c r="A181" s="545"/>
      <c r="B181" s="545"/>
      <c r="C181" s="545"/>
      <c r="D181" s="546"/>
      <c r="E181" s="547"/>
      <c r="F181" s="548"/>
      <c r="G181" s="548"/>
      <c r="H181" s="548"/>
      <c r="I181" s="548"/>
      <c r="J181" s="548"/>
      <c r="K181" s="549"/>
      <c r="L181" s="546"/>
      <c r="M181" s="546"/>
      <c r="N181" s="546"/>
      <c r="O181" s="546"/>
      <c r="P181" s="545"/>
      <c r="Q181" s="545"/>
      <c r="R181" s="545"/>
      <c r="S181" s="545"/>
      <c r="T181" s="545"/>
      <c r="U181" s="545"/>
      <c r="V181" s="545"/>
      <c r="W181" s="545"/>
    </row>
    <row r="182" spans="1:23" ht="13.9" customHeight="1">
      <c r="A182" s="545"/>
      <c r="B182" s="545"/>
      <c r="C182" s="545"/>
      <c r="D182" s="546"/>
      <c r="E182" s="547"/>
      <c r="F182" s="548"/>
      <c r="G182" s="548"/>
      <c r="H182" s="548"/>
      <c r="I182" s="548"/>
      <c r="J182" s="548"/>
      <c r="K182" s="549"/>
      <c r="L182" s="546"/>
      <c r="M182" s="546"/>
      <c r="N182" s="546"/>
      <c r="O182" s="546"/>
      <c r="P182" s="545"/>
      <c r="Q182" s="545"/>
      <c r="R182" s="545"/>
      <c r="S182" s="545"/>
      <c r="T182" s="545"/>
      <c r="U182" s="545"/>
      <c r="V182" s="545"/>
      <c r="W182" s="545"/>
    </row>
    <row r="183" spans="1:23" ht="13.9" customHeight="1">
      <c r="A183" s="545"/>
      <c r="B183" s="545"/>
      <c r="C183" s="545"/>
      <c r="D183" s="546"/>
      <c r="E183" s="547"/>
      <c r="F183" s="548"/>
      <c r="G183" s="548"/>
      <c r="H183" s="548"/>
      <c r="I183" s="548"/>
      <c r="J183" s="548"/>
      <c r="K183" s="549"/>
      <c r="L183" s="546"/>
      <c r="M183" s="546"/>
      <c r="N183" s="546"/>
      <c r="O183" s="546"/>
      <c r="P183" s="545"/>
      <c r="Q183" s="545"/>
      <c r="R183" s="545"/>
      <c r="S183" s="545"/>
      <c r="T183" s="545"/>
      <c r="U183" s="545"/>
      <c r="V183" s="545"/>
      <c r="W183" s="545"/>
    </row>
    <row r="184" spans="1:23" ht="13.9" customHeight="1">
      <c r="A184" s="545"/>
      <c r="B184" s="545"/>
      <c r="C184" s="545"/>
      <c r="D184" s="546"/>
      <c r="E184" s="547"/>
      <c r="F184" s="548"/>
      <c r="G184" s="548"/>
      <c r="H184" s="548"/>
      <c r="I184" s="548"/>
      <c r="J184" s="548"/>
      <c r="K184" s="549"/>
      <c r="L184" s="546"/>
      <c r="M184" s="546"/>
      <c r="N184" s="546"/>
      <c r="O184" s="546"/>
      <c r="P184" s="545"/>
      <c r="Q184" s="545"/>
      <c r="R184" s="545"/>
      <c r="S184" s="545"/>
      <c r="T184" s="545"/>
      <c r="U184" s="545"/>
      <c r="V184" s="545"/>
      <c r="W184" s="545"/>
    </row>
    <row r="185" spans="1:23" ht="13.9" customHeight="1">
      <c r="A185" s="545"/>
      <c r="B185" s="545"/>
      <c r="C185" s="545"/>
      <c r="D185" s="546"/>
      <c r="E185" s="547"/>
      <c r="F185" s="548"/>
      <c r="G185" s="548"/>
      <c r="H185" s="548"/>
      <c r="I185" s="548"/>
      <c r="J185" s="548"/>
      <c r="K185" s="549"/>
      <c r="L185" s="546"/>
      <c r="M185" s="546"/>
      <c r="N185" s="546"/>
      <c r="O185" s="546"/>
      <c r="P185" s="545"/>
      <c r="Q185" s="545"/>
      <c r="R185" s="545"/>
      <c r="S185" s="545"/>
      <c r="T185" s="545"/>
      <c r="U185" s="545"/>
      <c r="V185" s="545"/>
      <c r="W185" s="545"/>
    </row>
    <row r="186" spans="1:23" ht="13.9" customHeight="1">
      <c r="A186" s="545"/>
      <c r="B186" s="545"/>
      <c r="C186" s="545"/>
      <c r="D186" s="546"/>
      <c r="E186" s="547"/>
      <c r="F186" s="548"/>
      <c r="G186" s="548"/>
      <c r="H186" s="548"/>
      <c r="I186" s="548"/>
      <c r="J186" s="548"/>
      <c r="K186" s="549"/>
      <c r="L186" s="546"/>
      <c r="M186" s="546"/>
      <c r="N186" s="546"/>
      <c r="O186" s="546"/>
      <c r="P186" s="545"/>
      <c r="Q186" s="545"/>
      <c r="R186" s="545"/>
      <c r="S186" s="545"/>
      <c r="T186" s="545"/>
      <c r="U186" s="545"/>
      <c r="V186" s="545"/>
      <c r="W186" s="545"/>
    </row>
    <row r="187" spans="1:23" ht="13.9" customHeight="1">
      <c r="A187" s="545"/>
      <c r="B187" s="545"/>
      <c r="C187" s="545"/>
      <c r="D187" s="546"/>
      <c r="E187" s="547"/>
      <c r="F187" s="548"/>
      <c r="G187" s="548"/>
      <c r="H187" s="548"/>
      <c r="I187" s="548"/>
      <c r="J187" s="548"/>
      <c r="K187" s="549"/>
      <c r="L187" s="546"/>
      <c r="M187" s="546"/>
      <c r="N187" s="546"/>
      <c r="O187" s="546"/>
      <c r="P187" s="545"/>
      <c r="Q187" s="545"/>
      <c r="R187" s="545"/>
      <c r="S187" s="545"/>
      <c r="T187" s="545"/>
      <c r="U187" s="545"/>
      <c r="V187" s="545"/>
      <c r="W187" s="545"/>
    </row>
    <row r="188" spans="1:23" ht="13.9" customHeight="1">
      <c r="A188" s="545"/>
      <c r="B188" s="545"/>
      <c r="C188" s="545"/>
      <c r="D188" s="546"/>
      <c r="E188" s="547"/>
      <c r="F188" s="548"/>
      <c r="G188" s="548"/>
      <c r="H188" s="548"/>
      <c r="I188" s="548"/>
      <c r="J188" s="548"/>
      <c r="K188" s="549"/>
      <c r="L188" s="546"/>
      <c r="M188" s="546"/>
      <c r="N188" s="546"/>
      <c r="O188" s="546"/>
      <c r="P188" s="545"/>
      <c r="Q188" s="545"/>
      <c r="R188" s="545"/>
      <c r="S188" s="545"/>
      <c r="T188" s="545"/>
      <c r="U188" s="545"/>
      <c r="V188" s="545"/>
      <c r="W188" s="545"/>
    </row>
    <row r="189" spans="1:23" ht="13.9" customHeight="1">
      <c r="A189" s="545"/>
      <c r="B189" s="545"/>
      <c r="C189" s="545"/>
      <c r="D189" s="546"/>
      <c r="E189" s="547"/>
      <c r="F189" s="548"/>
      <c r="G189" s="548"/>
      <c r="H189" s="548"/>
      <c r="I189" s="548"/>
      <c r="J189" s="548"/>
      <c r="K189" s="549"/>
      <c r="L189" s="546"/>
      <c r="M189" s="546"/>
      <c r="N189" s="546"/>
      <c r="O189" s="546"/>
      <c r="P189" s="545"/>
      <c r="Q189" s="545"/>
      <c r="R189" s="545"/>
      <c r="S189" s="545"/>
      <c r="T189" s="545"/>
      <c r="U189" s="545"/>
      <c r="V189" s="545"/>
      <c r="W189" s="545"/>
    </row>
    <row r="190" spans="1:23" ht="13.9" customHeight="1">
      <c r="A190" s="545"/>
      <c r="B190" s="545"/>
      <c r="C190" s="545"/>
      <c r="D190" s="546"/>
      <c r="E190" s="547"/>
      <c r="F190" s="548"/>
      <c r="G190" s="548"/>
      <c r="H190" s="548"/>
      <c r="I190" s="548"/>
      <c r="J190" s="548"/>
      <c r="K190" s="549"/>
      <c r="L190" s="546"/>
      <c r="M190" s="546"/>
      <c r="N190" s="546"/>
      <c r="O190" s="546"/>
      <c r="P190" s="545"/>
      <c r="Q190" s="545"/>
      <c r="R190" s="545"/>
      <c r="S190" s="545"/>
      <c r="T190" s="545"/>
      <c r="U190" s="545"/>
      <c r="V190" s="545"/>
      <c r="W190" s="545"/>
    </row>
    <row r="191" spans="1:23" ht="13.9" customHeight="1">
      <c r="A191" s="545"/>
      <c r="B191" s="545"/>
      <c r="C191" s="545"/>
      <c r="D191" s="546"/>
      <c r="E191" s="547"/>
      <c r="F191" s="548"/>
      <c r="G191" s="548"/>
      <c r="H191" s="548"/>
      <c r="I191" s="548"/>
      <c r="J191" s="548"/>
      <c r="K191" s="549"/>
      <c r="L191" s="546"/>
      <c r="M191" s="546"/>
      <c r="N191" s="546"/>
      <c r="O191" s="546"/>
      <c r="P191" s="545"/>
      <c r="Q191" s="545"/>
      <c r="R191" s="545"/>
      <c r="S191" s="545"/>
      <c r="T191" s="545"/>
      <c r="U191" s="545"/>
      <c r="V191" s="545"/>
      <c r="W191" s="545"/>
    </row>
    <row r="192" spans="1:23" ht="13.9" customHeight="1">
      <c r="A192" s="545"/>
      <c r="B192" s="545"/>
      <c r="C192" s="545"/>
      <c r="D192" s="546"/>
      <c r="E192" s="547"/>
      <c r="F192" s="548"/>
      <c r="G192" s="548"/>
      <c r="H192" s="548"/>
      <c r="I192" s="548"/>
      <c r="J192" s="548"/>
      <c r="K192" s="549"/>
      <c r="L192" s="546"/>
      <c r="M192" s="546"/>
      <c r="N192" s="546"/>
      <c r="O192" s="546"/>
      <c r="P192" s="545"/>
      <c r="Q192" s="545"/>
      <c r="R192" s="545"/>
      <c r="S192" s="545"/>
      <c r="T192" s="545"/>
      <c r="U192" s="545"/>
      <c r="V192" s="545"/>
      <c r="W192" s="545"/>
    </row>
    <row r="193" spans="1:23" ht="13.9" customHeight="1">
      <c r="A193" s="545"/>
      <c r="B193" s="545"/>
      <c r="C193" s="545"/>
      <c r="D193" s="546"/>
      <c r="E193" s="547"/>
      <c r="F193" s="548"/>
      <c r="G193" s="548"/>
      <c r="H193" s="548"/>
      <c r="I193" s="548"/>
      <c r="J193" s="548"/>
      <c r="K193" s="549"/>
      <c r="L193" s="546"/>
      <c r="M193" s="546"/>
      <c r="N193" s="546"/>
      <c r="O193" s="546"/>
      <c r="P193" s="545"/>
      <c r="Q193" s="545"/>
      <c r="R193" s="545"/>
      <c r="S193" s="545"/>
      <c r="T193" s="545"/>
      <c r="U193" s="545"/>
      <c r="V193" s="545"/>
      <c r="W193" s="545"/>
    </row>
    <row r="194" spans="1:23" ht="13.9" customHeight="1">
      <c r="A194" s="545"/>
      <c r="B194" s="545"/>
      <c r="C194" s="545"/>
      <c r="D194" s="546"/>
      <c r="E194" s="547"/>
      <c r="F194" s="548"/>
      <c r="G194" s="548"/>
      <c r="H194" s="548"/>
      <c r="I194" s="548"/>
      <c r="J194" s="548"/>
      <c r="K194" s="549"/>
      <c r="L194" s="546"/>
      <c r="M194" s="546"/>
      <c r="N194" s="546"/>
      <c r="O194" s="546"/>
      <c r="P194" s="545"/>
      <c r="Q194" s="545"/>
      <c r="R194" s="545"/>
      <c r="S194" s="545"/>
      <c r="T194" s="545"/>
      <c r="U194" s="545"/>
      <c r="V194" s="545"/>
      <c r="W194" s="545"/>
    </row>
    <row r="195" spans="1:23" ht="13.9" customHeight="1">
      <c r="A195" s="545"/>
      <c r="B195" s="545"/>
      <c r="C195" s="545"/>
      <c r="D195" s="546"/>
      <c r="E195" s="547"/>
      <c r="F195" s="548"/>
      <c r="G195" s="548"/>
      <c r="H195" s="548"/>
      <c r="I195" s="548"/>
      <c r="J195" s="548"/>
      <c r="K195" s="549"/>
      <c r="L195" s="546"/>
      <c r="M195" s="546"/>
      <c r="N195" s="546"/>
      <c r="O195" s="546"/>
      <c r="P195" s="545"/>
      <c r="Q195" s="545"/>
      <c r="R195" s="545"/>
      <c r="S195" s="545"/>
      <c r="T195" s="545"/>
      <c r="U195" s="545"/>
      <c r="V195" s="545"/>
      <c r="W195" s="545"/>
    </row>
    <row r="196" spans="1:23" ht="13.9" customHeight="1">
      <c r="A196" s="545"/>
      <c r="B196" s="545"/>
      <c r="C196" s="545"/>
      <c r="D196" s="546"/>
      <c r="E196" s="547"/>
      <c r="F196" s="548"/>
      <c r="G196" s="548"/>
      <c r="H196" s="548"/>
      <c r="I196" s="548"/>
      <c r="J196" s="548"/>
      <c r="K196" s="549"/>
      <c r="L196" s="546"/>
      <c r="M196" s="546"/>
      <c r="N196" s="546"/>
      <c r="O196" s="546"/>
      <c r="P196" s="545"/>
      <c r="Q196" s="545"/>
      <c r="R196" s="545"/>
      <c r="S196" s="545"/>
      <c r="T196" s="545"/>
      <c r="U196" s="545"/>
      <c r="V196" s="545"/>
      <c r="W196" s="545"/>
    </row>
    <row r="197" spans="1:23" ht="13.9" customHeight="1">
      <c r="A197" s="545"/>
      <c r="B197" s="545"/>
      <c r="C197" s="545"/>
      <c r="D197" s="546"/>
      <c r="E197" s="547"/>
      <c r="F197" s="548"/>
      <c r="G197" s="548"/>
      <c r="H197" s="548"/>
      <c r="I197" s="548"/>
      <c r="J197" s="548"/>
      <c r="K197" s="549"/>
      <c r="L197" s="546"/>
      <c r="M197" s="546"/>
      <c r="N197" s="546"/>
      <c r="O197" s="546"/>
      <c r="P197" s="545"/>
      <c r="Q197" s="545"/>
      <c r="R197" s="545"/>
      <c r="S197" s="545"/>
      <c r="T197" s="545"/>
      <c r="U197" s="545"/>
      <c r="V197" s="545"/>
      <c r="W197" s="545"/>
    </row>
    <row r="198" spans="1:23" ht="13.9" customHeight="1">
      <c r="A198" s="545"/>
      <c r="B198" s="545"/>
      <c r="C198" s="545"/>
      <c r="D198" s="546"/>
      <c r="E198" s="547"/>
      <c r="F198" s="548"/>
      <c r="G198" s="548"/>
      <c r="H198" s="548"/>
      <c r="I198" s="548"/>
      <c r="J198" s="548"/>
      <c r="K198" s="549"/>
      <c r="L198" s="546"/>
      <c r="M198" s="546"/>
      <c r="N198" s="546"/>
      <c r="O198" s="546"/>
      <c r="P198" s="545"/>
      <c r="Q198" s="545"/>
      <c r="R198" s="545"/>
      <c r="S198" s="545"/>
      <c r="T198" s="545"/>
      <c r="U198" s="545"/>
      <c r="V198" s="545"/>
      <c r="W198" s="545"/>
    </row>
    <row r="199" spans="1:23" ht="13.9" customHeight="1">
      <c r="A199" s="545"/>
      <c r="B199" s="545"/>
      <c r="C199" s="545"/>
      <c r="D199" s="546"/>
      <c r="E199" s="547"/>
      <c r="F199" s="548"/>
      <c r="G199" s="548"/>
      <c r="H199" s="548"/>
      <c r="I199" s="548"/>
      <c r="J199" s="548"/>
      <c r="K199" s="549"/>
      <c r="L199" s="546"/>
      <c r="M199" s="546"/>
      <c r="N199" s="546"/>
      <c r="O199" s="546"/>
      <c r="P199" s="545"/>
      <c r="Q199" s="545"/>
      <c r="R199" s="545"/>
      <c r="S199" s="545"/>
      <c r="T199" s="545"/>
      <c r="U199" s="545"/>
      <c r="V199" s="545"/>
      <c r="W199" s="545"/>
    </row>
    <row r="200" spans="1:23" ht="13.9" customHeight="1">
      <c r="A200" s="545"/>
      <c r="B200" s="545"/>
      <c r="C200" s="545"/>
      <c r="D200" s="546"/>
      <c r="E200" s="547"/>
      <c r="F200" s="548"/>
      <c r="G200" s="548"/>
      <c r="H200" s="548"/>
      <c r="I200" s="548"/>
      <c r="J200" s="548"/>
      <c r="K200" s="549"/>
      <c r="L200" s="546"/>
      <c r="M200" s="546"/>
      <c r="N200" s="546"/>
      <c r="O200" s="546"/>
      <c r="P200" s="545"/>
      <c r="Q200" s="545"/>
      <c r="R200" s="545"/>
      <c r="S200" s="545"/>
      <c r="T200" s="545"/>
      <c r="U200" s="545"/>
      <c r="V200" s="545"/>
      <c r="W200" s="545"/>
    </row>
    <row r="201" spans="1:23" ht="13.9" customHeight="1">
      <c r="A201" s="545"/>
      <c r="B201" s="545"/>
      <c r="C201" s="545"/>
      <c r="D201" s="546"/>
      <c r="E201" s="547"/>
      <c r="F201" s="548"/>
      <c r="G201" s="548"/>
      <c r="H201" s="548"/>
      <c r="I201" s="548"/>
      <c r="J201" s="548"/>
      <c r="K201" s="549"/>
      <c r="L201" s="546"/>
      <c r="M201" s="546"/>
      <c r="N201" s="546"/>
      <c r="O201" s="546"/>
      <c r="P201" s="545"/>
      <c r="Q201" s="545"/>
      <c r="R201" s="545"/>
      <c r="S201" s="545"/>
      <c r="T201" s="545"/>
      <c r="U201" s="545"/>
      <c r="V201" s="545"/>
      <c r="W201" s="545"/>
    </row>
    <row r="202" spans="1:23" ht="13.9" customHeight="1">
      <c r="A202" s="545"/>
      <c r="B202" s="545"/>
      <c r="C202" s="545"/>
      <c r="D202" s="546"/>
      <c r="E202" s="547"/>
      <c r="F202" s="548"/>
      <c r="G202" s="548"/>
      <c r="H202" s="548"/>
      <c r="I202" s="548"/>
      <c r="J202" s="548"/>
      <c r="K202" s="549"/>
      <c r="L202" s="546"/>
      <c r="M202" s="546"/>
      <c r="N202" s="546"/>
      <c r="O202" s="546"/>
      <c r="P202" s="545"/>
      <c r="Q202" s="545"/>
      <c r="R202" s="545"/>
      <c r="S202" s="545"/>
      <c r="T202" s="545"/>
      <c r="U202" s="545"/>
      <c r="V202" s="545"/>
      <c r="W202" s="545"/>
    </row>
    <row r="203" spans="1:23" ht="13.9" customHeight="1">
      <c r="A203" s="545"/>
      <c r="B203" s="545"/>
      <c r="C203" s="545"/>
      <c r="D203" s="546"/>
      <c r="E203" s="547"/>
      <c r="F203" s="548"/>
      <c r="G203" s="548"/>
      <c r="H203" s="548"/>
      <c r="I203" s="548"/>
      <c r="J203" s="548"/>
      <c r="K203" s="549"/>
      <c r="L203" s="546"/>
      <c r="M203" s="546"/>
      <c r="N203" s="546"/>
      <c r="O203" s="546"/>
      <c r="P203" s="545"/>
      <c r="Q203" s="545"/>
      <c r="R203" s="545"/>
      <c r="S203" s="545"/>
      <c r="T203" s="545"/>
      <c r="U203" s="545"/>
      <c r="V203" s="545"/>
      <c r="W203" s="545"/>
    </row>
    <row r="204" spans="1:23" ht="13.9" customHeight="1">
      <c r="A204" s="545"/>
      <c r="B204" s="545"/>
      <c r="C204" s="545"/>
      <c r="D204" s="546"/>
      <c r="E204" s="547"/>
      <c r="F204" s="548"/>
      <c r="G204" s="548"/>
      <c r="H204" s="548"/>
      <c r="I204" s="548"/>
      <c r="J204" s="548"/>
      <c r="K204" s="549"/>
      <c r="L204" s="546"/>
      <c r="M204" s="546"/>
      <c r="N204" s="546"/>
      <c r="O204" s="546"/>
      <c r="P204" s="545"/>
      <c r="Q204" s="545"/>
      <c r="R204" s="545"/>
      <c r="S204" s="545"/>
      <c r="T204" s="545"/>
      <c r="U204" s="545"/>
      <c r="V204" s="545"/>
      <c r="W204" s="545"/>
    </row>
    <row r="205" spans="1:23" ht="13.9" customHeight="1">
      <c r="A205" s="545"/>
      <c r="B205" s="545"/>
      <c r="C205" s="545"/>
      <c r="D205" s="546"/>
      <c r="E205" s="547"/>
      <c r="F205" s="548"/>
      <c r="G205" s="548"/>
      <c r="H205" s="548"/>
      <c r="I205" s="548"/>
      <c r="J205" s="548"/>
      <c r="K205" s="549"/>
      <c r="L205" s="546"/>
      <c r="M205" s="546"/>
      <c r="N205" s="546"/>
      <c r="O205" s="546"/>
      <c r="P205" s="545"/>
      <c r="Q205" s="545"/>
      <c r="R205" s="545"/>
      <c r="S205" s="545"/>
      <c r="T205" s="545"/>
      <c r="U205" s="545"/>
      <c r="V205" s="545"/>
      <c r="W205" s="545"/>
    </row>
    <row r="206" spans="1:23" ht="13.9" customHeight="1">
      <c r="A206" s="545"/>
      <c r="B206" s="545"/>
      <c r="C206" s="545"/>
      <c r="D206" s="546"/>
      <c r="E206" s="547"/>
      <c r="F206" s="548"/>
      <c r="G206" s="548"/>
      <c r="H206" s="548"/>
      <c r="I206" s="548"/>
      <c r="J206" s="548"/>
      <c r="K206" s="549"/>
      <c r="L206" s="546"/>
      <c r="M206" s="546"/>
      <c r="N206" s="546"/>
      <c r="O206" s="546"/>
      <c r="P206" s="545"/>
      <c r="Q206" s="545"/>
      <c r="R206" s="545"/>
      <c r="S206" s="545"/>
      <c r="T206" s="545"/>
      <c r="U206" s="545"/>
      <c r="V206" s="545"/>
      <c r="W206" s="545"/>
    </row>
    <row r="207" spans="1:23" ht="13.9" customHeight="1">
      <c r="A207" s="545"/>
      <c r="B207" s="545"/>
      <c r="C207" s="545"/>
      <c r="D207" s="546"/>
      <c r="E207" s="547"/>
      <c r="F207" s="548"/>
      <c r="G207" s="548"/>
      <c r="H207" s="548"/>
      <c r="I207" s="548"/>
      <c r="J207" s="548"/>
      <c r="K207" s="549"/>
      <c r="L207" s="546"/>
      <c r="M207" s="546"/>
      <c r="N207" s="546"/>
      <c r="O207" s="546"/>
      <c r="P207" s="545"/>
      <c r="Q207" s="545"/>
      <c r="R207" s="545"/>
      <c r="S207" s="545"/>
      <c r="T207" s="545"/>
      <c r="U207" s="545"/>
      <c r="V207" s="545"/>
      <c r="W207" s="545"/>
    </row>
    <row r="208" spans="1:23" ht="13.9" customHeight="1">
      <c r="A208" s="545"/>
      <c r="B208" s="545"/>
      <c r="C208" s="545"/>
      <c r="D208" s="546"/>
      <c r="E208" s="547"/>
      <c r="F208" s="548"/>
      <c r="G208" s="548"/>
      <c r="H208" s="548"/>
      <c r="I208" s="548"/>
      <c r="J208" s="548"/>
      <c r="K208" s="549"/>
      <c r="L208" s="546"/>
      <c r="M208" s="546"/>
      <c r="N208" s="546"/>
      <c r="O208" s="546"/>
      <c r="P208" s="545"/>
      <c r="Q208" s="545"/>
      <c r="R208" s="545"/>
      <c r="S208" s="545"/>
      <c r="T208" s="545"/>
      <c r="U208" s="545"/>
      <c r="V208" s="545"/>
      <c r="W208" s="545"/>
    </row>
    <row r="209" spans="1:171" ht="13.9" customHeight="1">
      <c r="A209" s="545"/>
      <c r="B209" s="545"/>
      <c r="C209" s="545"/>
      <c r="D209" s="546"/>
      <c r="E209" s="547"/>
      <c r="F209" s="548"/>
      <c r="G209" s="548"/>
      <c r="H209" s="548"/>
      <c r="I209" s="548"/>
      <c r="J209" s="548"/>
      <c r="K209" s="549"/>
      <c r="L209" s="546"/>
      <c r="M209" s="546"/>
      <c r="N209" s="546"/>
      <c r="O209" s="546"/>
      <c r="P209" s="545"/>
      <c r="Q209" s="545"/>
      <c r="R209" s="545"/>
      <c r="S209" s="545"/>
      <c r="T209" s="545"/>
      <c r="U209" s="545"/>
      <c r="V209" s="545"/>
      <c r="W209" s="545"/>
    </row>
    <row r="210" spans="1:171" ht="13.9" customHeight="1">
      <c r="A210" s="545"/>
      <c r="B210" s="545"/>
      <c r="C210" s="545"/>
      <c r="D210" s="546"/>
      <c r="E210" s="547"/>
      <c r="F210" s="548"/>
      <c r="G210" s="548"/>
      <c r="H210" s="548"/>
      <c r="I210" s="548"/>
      <c r="J210" s="548"/>
      <c r="K210" s="549"/>
      <c r="L210" s="546"/>
      <c r="M210" s="546"/>
      <c r="N210" s="546"/>
      <c r="O210" s="546"/>
      <c r="P210" s="545"/>
      <c r="Q210" s="545"/>
      <c r="R210" s="545"/>
      <c r="S210" s="545"/>
      <c r="T210" s="545"/>
      <c r="U210" s="545"/>
      <c r="V210" s="545"/>
      <c r="W210" s="545"/>
    </row>
    <row r="211" spans="1:171" ht="13.9" customHeight="1">
      <c r="A211" s="545"/>
      <c r="B211" s="545"/>
      <c r="C211" s="545"/>
      <c r="D211" s="546"/>
      <c r="E211" s="547"/>
      <c r="F211" s="548"/>
      <c r="G211" s="548"/>
      <c r="H211" s="548"/>
      <c r="I211" s="548"/>
      <c r="J211" s="548"/>
      <c r="K211" s="549"/>
      <c r="L211" s="546"/>
      <c r="M211" s="546"/>
      <c r="N211" s="546"/>
      <c r="O211" s="546"/>
      <c r="P211" s="545"/>
      <c r="Q211" s="545"/>
      <c r="R211" s="545"/>
      <c r="S211" s="545"/>
      <c r="T211" s="545"/>
      <c r="U211" s="545"/>
      <c r="V211" s="545"/>
      <c r="W211" s="545"/>
    </row>
    <row r="212" spans="1:171" ht="13.9" customHeight="1">
      <c r="A212" s="545"/>
      <c r="B212" s="545"/>
      <c r="C212" s="545"/>
      <c r="D212" s="546"/>
      <c r="E212" s="547"/>
      <c r="F212" s="548"/>
      <c r="G212" s="548"/>
      <c r="H212" s="548"/>
      <c r="I212" s="548"/>
      <c r="J212" s="548"/>
      <c r="K212" s="549"/>
      <c r="L212" s="546"/>
      <c r="M212" s="546"/>
      <c r="N212" s="546"/>
      <c r="O212" s="546"/>
      <c r="P212" s="545"/>
      <c r="Q212" s="545"/>
      <c r="R212" s="545"/>
      <c r="S212" s="545"/>
      <c r="T212" s="545"/>
      <c r="U212" s="545"/>
      <c r="V212" s="545"/>
      <c r="W212" s="545"/>
    </row>
    <row r="213" spans="1:171" ht="13.9" customHeight="1">
      <c r="A213" s="545"/>
      <c r="B213" s="545"/>
      <c r="C213" s="545"/>
      <c r="D213" s="546"/>
      <c r="E213" s="547"/>
      <c r="F213" s="548"/>
      <c r="G213" s="548"/>
      <c r="H213" s="548"/>
      <c r="I213" s="548"/>
      <c r="J213" s="548"/>
      <c r="K213" s="549"/>
      <c r="L213" s="546"/>
      <c r="M213" s="546"/>
      <c r="N213" s="546"/>
      <c r="O213" s="546"/>
      <c r="P213" s="545"/>
      <c r="Q213" s="545"/>
      <c r="R213" s="545"/>
      <c r="S213" s="545"/>
      <c r="T213" s="545"/>
      <c r="U213" s="545"/>
      <c r="V213" s="545"/>
      <c r="W213" s="545"/>
    </row>
    <row r="214" spans="1:171" ht="13.9" customHeight="1">
      <c r="A214" s="545"/>
      <c r="B214" s="545"/>
      <c r="C214" s="545"/>
      <c r="D214" s="546"/>
      <c r="E214" s="547"/>
      <c r="F214" s="548"/>
      <c r="G214" s="548"/>
      <c r="H214" s="548"/>
      <c r="I214" s="548"/>
      <c r="J214" s="548"/>
      <c r="K214" s="549"/>
      <c r="L214" s="546"/>
      <c r="M214" s="546"/>
      <c r="N214" s="546"/>
      <c r="O214" s="546"/>
      <c r="P214" s="545"/>
      <c r="Q214" s="545"/>
      <c r="R214" s="545"/>
      <c r="S214" s="545"/>
      <c r="T214" s="545"/>
      <c r="U214" s="545"/>
      <c r="V214" s="545"/>
      <c r="W214" s="545"/>
    </row>
    <row r="215" spans="1:171" ht="13.9" customHeight="1">
      <c r="A215" s="545"/>
      <c r="B215" s="545"/>
      <c r="C215" s="545"/>
      <c r="D215" s="546"/>
      <c r="E215" s="547"/>
      <c r="F215" s="548"/>
      <c r="G215" s="548"/>
      <c r="H215" s="548"/>
      <c r="I215" s="548"/>
      <c r="J215" s="548"/>
      <c r="K215" s="549"/>
      <c r="L215" s="546"/>
      <c r="M215" s="546"/>
      <c r="N215" s="546"/>
      <c r="O215" s="546"/>
      <c r="P215" s="545"/>
      <c r="Q215" s="545"/>
      <c r="R215" s="545"/>
      <c r="S215" s="545"/>
      <c r="T215" s="545"/>
      <c r="U215" s="545"/>
      <c r="V215" s="545"/>
      <c r="W215" s="545"/>
    </row>
    <row r="216" spans="1:171" ht="13.9" customHeight="1">
      <c r="A216" s="545"/>
      <c r="B216" s="545"/>
      <c r="C216" s="545"/>
      <c r="D216" s="546"/>
      <c r="E216" s="547"/>
      <c r="F216" s="548"/>
      <c r="G216" s="548"/>
      <c r="H216" s="548"/>
      <c r="I216" s="548"/>
      <c r="J216" s="548"/>
      <c r="K216" s="549"/>
      <c r="L216" s="546"/>
      <c r="M216" s="546"/>
      <c r="N216" s="546"/>
      <c r="O216" s="546"/>
      <c r="P216" s="545"/>
      <c r="Q216" s="545"/>
      <c r="R216" s="545"/>
      <c r="S216" s="545"/>
      <c r="T216" s="545"/>
      <c r="U216" s="545"/>
      <c r="V216" s="545"/>
      <c r="W216" s="545"/>
    </row>
    <row r="217" spans="1:171" ht="13.9" customHeight="1">
      <c r="A217" s="545"/>
      <c r="B217" s="545"/>
      <c r="C217" s="545"/>
      <c r="D217" s="546"/>
      <c r="E217" s="547"/>
      <c r="F217" s="548"/>
      <c r="G217" s="548"/>
      <c r="H217" s="548"/>
      <c r="I217" s="548"/>
      <c r="J217" s="548"/>
      <c r="K217" s="549"/>
      <c r="L217" s="546"/>
      <c r="M217" s="546"/>
      <c r="N217" s="546"/>
      <c r="O217" s="546"/>
      <c r="P217" s="545"/>
      <c r="Q217" s="545"/>
      <c r="R217" s="545"/>
      <c r="S217" s="545"/>
      <c r="T217" s="545"/>
      <c r="U217" s="545"/>
      <c r="V217" s="545"/>
      <c r="W217" s="545"/>
    </row>
    <row r="218" spans="1:171" ht="13.9" customHeight="1">
      <c r="A218" s="545"/>
      <c r="B218" s="545"/>
      <c r="C218" s="545"/>
      <c r="D218" s="546"/>
      <c r="E218" s="547"/>
      <c r="F218" s="548"/>
      <c r="G218" s="548"/>
      <c r="H218" s="548"/>
      <c r="I218" s="548"/>
      <c r="J218" s="548"/>
      <c r="K218" s="549"/>
      <c r="L218" s="546"/>
      <c r="M218" s="546"/>
      <c r="N218" s="546"/>
      <c r="O218" s="546"/>
      <c r="P218" s="545"/>
      <c r="Q218" s="545"/>
      <c r="R218" s="545"/>
      <c r="S218" s="545"/>
      <c r="T218" s="545"/>
      <c r="U218" s="545"/>
      <c r="V218" s="545"/>
      <c r="W218" s="545"/>
    </row>
    <row r="219" spans="1:171" ht="13.9" customHeight="1">
      <c r="A219" s="545"/>
      <c r="B219" s="545"/>
      <c r="C219" s="545"/>
      <c r="D219" s="546"/>
      <c r="E219" s="547"/>
      <c r="F219" s="548"/>
      <c r="G219" s="548"/>
      <c r="H219" s="548"/>
      <c r="I219" s="548"/>
      <c r="J219" s="548"/>
      <c r="K219" s="549"/>
      <c r="L219" s="546"/>
      <c r="M219" s="546"/>
      <c r="N219" s="546"/>
      <c r="O219" s="546"/>
      <c r="P219" s="545"/>
      <c r="Q219" s="545"/>
      <c r="R219" s="545"/>
      <c r="S219" s="545"/>
      <c r="T219" s="545"/>
      <c r="U219" s="545"/>
      <c r="V219" s="545"/>
      <c r="W219" s="545"/>
    </row>
    <row r="220" spans="1:171" ht="13.9" customHeight="1">
      <c r="A220" s="545"/>
      <c r="B220" s="545"/>
      <c r="C220" s="545"/>
      <c r="D220" s="546"/>
      <c r="E220" s="547"/>
      <c r="F220" s="548"/>
      <c r="G220" s="548"/>
      <c r="H220" s="548"/>
      <c r="I220" s="548"/>
      <c r="J220" s="548"/>
      <c r="K220" s="549"/>
      <c r="L220" s="546"/>
      <c r="M220" s="546"/>
      <c r="N220" s="546"/>
      <c r="O220" s="546"/>
      <c r="P220" s="545"/>
      <c r="Q220" s="545"/>
      <c r="R220" s="545"/>
      <c r="S220" s="545"/>
      <c r="T220" s="545"/>
      <c r="U220" s="545"/>
      <c r="V220" s="545"/>
      <c r="W220" s="545"/>
    </row>
    <row r="221" spans="1:171" ht="13.9" customHeight="1">
      <c r="A221" s="545"/>
      <c r="B221" s="545"/>
      <c r="C221" s="545"/>
      <c r="D221" s="546"/>
      <c r="E221" s="547"/>
      <c r="F221" s="548"/>
      <c r="G221" s="548"/>
      <c r="H221" s="548"/>
      <c r="I221" s="548"/>
      <c r="J221" s="548"/>
      <c r="K221" s="549"/>
      <c r="L221" s="546"/>
      <c r="M221" s="546"/>
      <c r="N221" s="546"/>
      <c r="O221" s="546"/>
      <c r="P221" s="545"/>
      <c r="Q221" s="545"/>
      <c r="R221" s="545"/>
      <c r="S221" s="545"/>
      <c r="T221" s="545"/>
      <c r="U221" s="545"/>
      <c r="V221" s="545"/>
      <c r="W221" s="545"/>
    </row>
    <row r="222" spans="1:171" ht="13.9" customHeight="1">
      <c r="A222" s="545"/>
      <c r="B222" s="545"/>
      <c r="C222" s="545"/>
      <c r="D222" s="546"/>
      <c r="E222" s="547"/>
      <c r="F222" s="548"/>
      <c r="G222" s="548"/>
      <c r="H222" s="548"/>
      <c r="I222" s="548"/>
      <c r="J222" s="548"/>
      <c r="K222" s="549"/>
      <c r="L222" s="546"/>
      <c r="M222" s="546"/>
      <c r="N222" s="546"/>
      <c r="O222" s="546"/>
      <c r="P222" s="545"/>
      <c r="Q222" s="545"/>
      <c r="R222" s="545"/>
      <c r="S222" s="545"/>
      <c r="T222" s="545"/>
      <c r="U222" s="545"/>
      <c r="V222" s="545"/>
      <c r="W222" s="545"/>
    </row>
    <row r="223" spans="1:171" ht="13.9" customHeight="1">
      <c r="A223" s="545"/>
      <c r="B223" s="545"/>
      <c r="C223" s="545"/>
      <c r="D223" s="546"/>
      <c r="E223" s="547"/>
      <c r="F223" s="548"/>
      <c r="G223" s="548"/>
      <c r="H223" s="548"/>
      <c r="I223" s="548"/>
      <c r="J223" s="548"/>
      <c r="K223" s="549"/>
      <c r="L223" s="546"/>
      <c r="M223" s="546"/>
      <c r="N223" s="546"/>
      <c r="O223" s="546"/>
      <c r="P223" s="545"/>
      <c r="Q223" s="545"/>
      <c r="R223" s="545"/>
      <c r="S223" s="545"/>
      <c r="T223" s="545"/>
      <c r="U223" s="545"/>
      <c r="V223" s="545"/>
      <c r="W223" s="545"/>
    </row>
    <row r="224" spans="1:171" s="568" customFormat="1" ht="13.9" customHeight="1">
      <c r="A224" s="566"/>
      <c r="B224" s="566"/>
      <c r="C224" s="566"/>
      <c r="D224" s="546"/>
      <c r="E224" s="547"/>
      <c r="F224" s="548"/>
      <c r="G224" s="548"/>
      <c r="H224" s="548"/>
      <c r="I224" s="548"/>
      <c r="J224" s="548"/>
      <c r="K224" s="549"/>
      <c r="L224" s="546"/>
      <c r="M224" s="546"/>
      <c r="N224" s="546"/>
      <c r="O224" s="546"/>
      <c r="P224" s="545"/>
      <c r="Q224" s="545"/>
      <c r="R224" s="545"/>
      <c r="S224" s="545"/>
      <c r="T224" s="545"/>
      <c r="U224" s="545"/>
      <c r="V224" s="545"/>
      <c r="W224" s="545"/>
      <c r="X224" s="553"/>
      <c r="Y224" s="553"/>
      <c r="Z224" s="553"/>
      <c r="AA224" s="554"/>
      <c r="AB224" s="550"/>
      <c r="AC224" s="550"/>
      <c r="AD224" s="550"/>
      <c r="AE224" s="307"/>
      <c r="AF224" s="307"/>
      <c r="AG224" s="307"/>
      <c r="AH224" s="307"/>
      <c r="AI224" s="307"/>
      <c r="AJ224" s="307"/>
      <c r="AK224" s="307"/>
      <c r="AL224" s="307"/>
      <c r="AM224" s="307"/>
      <c r="AN224" s="307"/>
      <c r="AO224" s="307"/>
      <c r="AP224" s="307"/>
      <c r="AQ224" s="307"/>
      <c r="AR224" s="307"/>
      <c r="AS224" s="307"/>
      <c r="AT224" s="307"/>
      <c r="AU224" s="307"/>
      <c r="AV224" s="307"/>
      <c r="AW224" s="307"/>
      <c r="AX224" s="307"/>
      <c r="AY224" s="307"/>
      <c r="AZ224" s="307"/>
      <c r="BA224" s="307"/>
      <c r="BB224" s="307"/>
      <c r="BC224" s="307"/>
      <c r="BD224" s="307"/>
      <c r="BE224" s="307"/>
      <c r="BF224" s="307"/>
      <c r="BG224" s="307"/>
      <c r="BH224" s="307"/>
      <c r="BI224" s="307"/>
      <c r="BJ224" s="307"/>
      <c r="BK224" s="307"/>
      <c r="BL224" s="307"/>
      <c r="BM224" s="307"/>
      <c r="BN224" s="307"/>
      <c r="BO224" s="307"/>
      <c r="BP224" s="307"/>
      <c r="BQ224" s="307"/>
      <c r="BR224" s="307"/>
      <c r="BS224" s="307"/>
      <c r="BT224" s="307"/>
      <c r="BU224" s="307"/>
      <c r="BV224" s="307"/>
      <c r="BW224" s="307"/>
      <c r="BX224" s="307"/>
      <c r="BY224" s="307"/>
      <c r="BZ224" s="307"/>
      <c r="CA224" s="307"/>
      <c r="CB224" s="307"/>
      <c r="CC224" s="307"/>
      <c r="CD224" s="307"/>
      <c r="CE224" s="307"/>
      <c r="CF224" s="307"/>
      <c r="CG224" s="307"/>
      <c r="CH224" s="307"/>
      <c r="CI224" s="307"/>
      <c r="CJ224" s="307"/>
      <c r="CK224" s="307"/>
      <c r="CL224" s="307"/>
      <c r="CM224" s="307"/>
      <c r="CN224" s="307"/>
      <c r="CO224" s="307"/>
      <c r="CP224" s="307"/>
      <c r="CQ224" s="307"/>
      <c r="CR224" s="307"/>
      <c r="CS224" s="307"/>
      <c r="CT224" s="307"/>
      <c r="CU224" s="307"/>
      <c r="CV224" s="307"/>
      <c r="CW224" s="307"/>
      <c r="CX224" s="307"/>
      <c r="CY224" s="307"/>
      <c r="CZ224" s="307"/>
      <c r="DA224" s="307"/>
      <c r="DB224" s="280"/>
      <c r="DC224" s="280"/>
      <c r="DD224" s="280"/>
      <c r="DE224" s="280"/>
      <c r="DF224" s="280"/>
      <c r="DG224" s="280"/>
      <c r="DH224" s="280"/>
      <c r="DI224" s="280"/>
      <c r="DJ224" s="280"/>
      <c r="DK224" s="280"/>
      <c r="DL224" s="280"/>
      <c r="DM224" s="280"/>
      <c r="DN224" s="280"/>
      <c r="DO224" s="280"/>
      <c r="DP224" s="280"/>
      <c r="DQ224" s="280"/>
      <c r="DR224" s="280"/>
      <c r="DS224" s="280"/>
      <c r="DT224" s="280"/>
      <c r="DU224" s="280"/>
      <c r="DV224" s="280"/>
      <c r="DW224" s="280"/>
      <c r="DX224" s="280"/>
      <c r="DY224" s="280"/>
      <c r="DZ224" s="280"/>
      <c r="EA224" s="280"/>
      <c r="EB224" s="280"/>
      <c r="EC224" s="280"/>
      <c r="ED224" s="280"/>
      <c r="EE224" s="280"/>
      <c r="EF224" s="280"/>
      <c r="EG224" s="280"/>
      <c r="EH224" s="280"/>
      <c r="EI224" s="280"/>
      <c r="EJ224" s="280"/>
      <c r="EK224" s="280"/>
      <c r="EL224" s="280"/>
      <c r="EM224" s="280"/>
      <c r="EN224" s="280"/>
      <c r="EO224" s="280"/>
      <c r="EP224" s="521"/>
      <c r="EQ224" s="521"/>
      <c r="ER224" s="521"/>
      <c r="ES224" s="521"/>
      <c r="ET224" s="521"/>
      <c r="EU224" s="521"/>
      <c r="EV224" s="521"/>
      <c r="EW224" s="521"/>
      <c r="EX224" s="521"/>
      <c r="EY224" s="521"/>
      <c r="EZ224" s="521"/>
      <c r="FA224" s="521"/>
      <c r="FB224" s="521"/>
      <c r="FC224" s="521"/>
      <c r="FD224" s="521"/>
      <c r="FE224" s="521"/>
      <c r="FF224" s="521"/>
      <c r="FG224" s="521"/>
      <c r="FH224" s="567"/>
      <c r="FI224" s="567"/>
      <c r="FJ224" s="567"/>
      <c r="FK224" s="567"/>
      <c r="FL224" s="567"/>
      <c r="FM224" s="567"/>
      <c r="FN224" s="567"/>
      <c r="FO224" s="567"/>
    </row>
    <row r="225" spans="1:171" s="568" customFormat="1" ht="13.9" customHeight="1">
      <c r="A225" s="566"/>
      <c r="B225" s="566"/>
      <c r="C225" s="566"/>
      <c r="D225" s="546"/>
      <c r="E225" s="547"/>
      <c r="F225" s="548"/>
      <c r="G225" s="548"/>
      <c r="H225" s="548"/>
      <c r="I225" s="548"/>
      <c r="J225" s="548"/>
      <c r="K225" s="549"/>
      <c r="L225" s="546"/>
      <c r="M225" s="546"/>
      <c r="N225" s="546"/>
      <c r="O225" s="546"/>
      <c r="P225" s="545"/>
      <c r="Q225" s="545"/>
      <c r="R225" s="545"/>
      <c r="S225" s="545"/>
      <c r="T225" s="545"/>
      <c r="U225" s="545"/>
      <c r="V225" s="545"/>
      <c r="W225" s="545"/>
      <c r="X225" s="553"/>
      <c r="Y225" s="553"/>
      <c r="Z225" s="553"/>
      <c r="AA225" s="554"/>
      <c r="AB225" s="550"/>
      <c r="AC225" s="550"/>
      <c r="AD225" s="550"/>
      <c r="AE225" s="307"/>
      <c r="AF225" s="307"/>
      <c r="AG225" s="307"/>
      <c r="AH225" s="307"/>
      <c r="AI225" s="307"/>
      <c r="AJ225" s="307"/>
      <c r="AK225" s="307"/>
      <c r="AL225" s="307"/>
      <c r="AM225" s="307"/>
      <c r="AN225" s="307"/>
      <c r="AO225" s="307"/>
      <c r="AP225" s="307"/>
      <c r="AQ225" s="307"/>
      <c r="AR225" s="307"/>
      <c r="AS225" s="307"/>
      <c r="AT225" s="307"/>
      <c r="AU225" s="307"/>
      <c r="AV225" s="307"/>
      <c r="AW225" s="307"/>
      <c r="AX225" s="307"/>
      <c r="AY225" s="307"/>
      <c r="AZ225" s="307"/>
      <c r="BA225" s="307"/>
      <c r="BB225" s="307"/>
      <c r="BC225" s="307"/>
      <c r="BD225" s="307"/>
      <c r="BE225" s="307"/>
      <c r="BF225" s="307"/>
      <c r="BG225" s="307"/>
      <c r="BH225" s="307"/>
      <c r="BI225" s="307"/>
      <c r="BJ225" s="307"/>
      <c r="BK225" s="307"/>
      <c r="BL225" s="307"/>
      <c r="BM225" s="307"/>
      <c r="BN225" s="307"/>
      <c r="BO225" s="307"/>
      <c r="BP225" s="307"/>
      <c r="BQ225" s="307"/>
      <c r="BR225" s="307"/>
      <c r="BS225" s="307"/>
      <c r="BT225" s="307"/>
      <c r="BU225" s="307"/>
      <c r="BV225" s="307"/>
      <c r="BW225" s="307"/>
      <c r="BX225" s="307"/>
      <c r="BY225" s="307"/>
      <c r="BZ225" s="307"/>
      <c r="CA225" s="307"/>
      <c r="CB225" s="307"/>
      <c r="CC225" s="307"/>
      <c r="CD225" s="307"/>
      <c r="CE225" s="307"/>
      <c r="CF225" s="307"/>
      <c r="CG225" s="307"/>
      <c r="CH225" s="307"/>
      <c r="CI225" s="307"/>
      <c r="CJ225" s="307"/>
      <c r="CK225" s="307"/>
      <c r="CL225" s="307"/>
      <c r="CM225" s="307"/>
      <c r="CN225" s="307"/>
      <c r="CO225" s="307"/>
      <c r="CP225" s="307"/>
      <c r="CQ225" s="307"/>
      <c r="CR225" s="307"/>
      <c r="CS225" s="307"/>
      <c r="CT225" s="307"/>
      <c r="CU225" s="307"/>
      <c r="CV225" s="307"/>
      <c r="CW225" s="307"/>
      <c r="CX225" s="307"/>
      <c r="CY225" s="307"/>
      <c r="CZ225" s="307"/>
      <c r="DA225" s="307"/>
      <c r="DB225" s="280"/>
      <c r="DC225" s="280"/>
      <c r="DD225" s="280"/>
      <c r="DE225" s="280"/>
      <c r="DF225" s="280"/>
      <c r="DG225" s="280"/>
      <c r="DH225" s="280"/>
      <c r="DI225" s="280"/>
      <c r="DJ225" s="280"/>
      <c r="DK225" s="280"/>
      <c r="DL225" s="280"/>
      <c r="DM225" s="280"/>
      <c r="DN225" s="280"/>
      <c r="DO225" s="280"/>
      <c r="DP225" s="280"/>
      <c r="DQ225" s="280"/>
      <c r="DR225" s="280"/>
      <c r="DS225" s="280"/>
      <c r="DT225" s="280"/>
      <c r="DU225" s="280"/>
      <c r="DV225" s="280"/>
      <c r="DW225" s="280"/>
      <c r="DX225" s="280"/>
      <c r="DY225" s="280"/>
      <c r="DZ225" s="280"/>
      <c r="EA225" s="280"/>
      <c r="EB225" s="280"/>
      <c r="EC225" s="280"/>
      <c r="ED225" s="280"/>
      <c r="EE225" s="280"/>
      <c r="EF225" s="280"/>
      <c r="EG225" s="280"/>
      <c r="EH225" s="280"/>
      <c r="EI225" s="280"/>
      <c r="EJ225" s="280"/>
      <c r="EK225" s="280"/>
      <c r="EL225" s="280"/>
      <c r="EM225" s="280"/>
      <c r="EN225" s="280"/>
      <c r="EO225" s="280"/>
      <c r="EP225" s="521"/>
      <c r="EQ225" s="521"/>
      <c r="ER225" s="521"/>
      <c r="ES225" s="521"/>
      <c r="ET225" s="521"/>
      <c r="EU225" s="521"/>
      <c r="EV225" s="521"/>
      <c r="EW225" s="521"/>
      <c r="EX225" s="521"/>
      <c r="EY225" s="521"/>
      <c r="EZ225" s="521"/>
      <c r="FA225" s="521"/>
      <c r="FB225" s="521"/>
      <c r="FC225" s="521"/>
      <c r="FD225" s="521"/>
      <c r="FE225" s="521"/>
      <c r="FF225" s="521"/>
      <c r="FG225" s="521"/>
      <c r="FH225" s="567"/>
      <c r="FI225" s="567"/>
      <c r="FJ225" s="567"/>
      <c r="FK225" s="567"/>
      <c r="FL225" s="567"/>
      <c r="FM225" s="567"/>
      <c r="FN225" s="567"/>
      <c r="FO225" s="567"/>
    </row>
    <row r="226" spans="1:171" s="568" customFormat="1" ht="13.9" customHeight="1">
      <c r="A226" s="566"/>
      <c r="B226" s="566"/>
      <c r="C226" s="566"/>
      <c r="D226" s="546"/>
      <c r="E226" s="547"/>
      <c r="F226" s="548"/>
      <c r="G226" s="548"/>
      <c r="H226" s="548"/>
      <c r="I226" s="548"/>
      <c r="J226" s="548"/>
      <c r="K226" s="549"/>
      <c r="L226" s="546"/>
      <c r="M226" s="546"/>
      <c r="N226" s="546"/>
      <c r="O226" s="546"/>
      <c r="P226" s="545"/>
      <c r="Q226" s="545"/>
      <c r="R226" s="545"/>
      <c r="S226" s="545"/>
      <c r="T226" s="545"/>
      <c r="U226" s="545"/>
      <c r="V226" s="545"/>
      <c r="W226" s="545"/>
      <c r="X226" s="553"/>
      <c r="Y226" s="553"/>
      <c r="Z226" s="553"/>
      <c r="AA226" s="554"/>
      <c r="AB226" s="550"/>
      <c r="AC226" s="550"/>
      <c r="AD226" s="550"/>
      <c r="AE226" s="307"/>
      <c r="AF226" s="307"/>
      <c r="AG226" s="307"/>
      <c r="AH226" s="307"/>
      <c r="AI226" s="307"/>
      <c r="AJ226" s="307"/>
      <c r="AK226" s="307"/>
      <c r="AL226" s="307"/>
      <c r="AM226" s="307"/>
      <c r="AN226" s="307"/>
      <c r="AO226" s="307"/>
      <c r="AP226" s="307"/>
      <c r="AQ226" s="307"/>
      <c r="AR226" s="307"/>
      <c r="AS226" s="307"/>
      <c r="AT226" s="307"/>
      <c r="AU226" s="307"/>
      <c r="AV226" s="307"/>
      <c r="AW226" s="307"/>
      <c r="AX226" s="307"/>
      <c r="AY226" s="307"/>
      <c r="AZ226" s="307"/>
      <c r="BA226" s="307"/>
      <c r="BB226" s="307"/>
      <c r="BC226" s="307"/>
      <c r="BD226" s="307"/>
      <c r="BE226" s="307"/>
      <c r="BF226" s="307"/>
      <c r="BG226" s="307"/>
      <c r="BH226" s="307"/>
      <c r="BI226" s="307"/>
      <c r="BJ226" s="307"/>
      <c r="BK226" s="307"/>
      <c r="BL226" s="307"/>
      <c r="BM226" s="307"/>
      <c r="BN226" s="307"/>
      <c r="BO226" s="307"/>
      <c r="BP226" s="307"/>
      <c r="BQ226" s="307"/>
      <c r="BR226" s="307"/>
      <c r="BS226" s="307"/>
      <c r="BT226" s="307"/>
      <c r="BU226" s="307"/>
      <c r="BV226" s="307"/>
      <c r="BW226" s="307"/>
      <c r="BX226" s="307"/>
      <c r="BY226" s="307"/>
      <c r="BZ226" s="307"/>
      <c r="CA226" s="307"/>
      <c r="CB226" s="307"/>
      <c r="CC226" s="307"/>
      <c r="CD226" s="307"/>
      <c r="CE226" s="307"/>
      <c r="CF226" s="307"/>
      <c r="CG226" s="307"/>
      <c r="CH226" s="307"/>
      <c r="CI226" s="307"/>
      <c r="CJ226" s="307"/>
      <c r="CK226" s="307"/>
      <c r="CL226" s="307"/>
      <c r="CM226" s="307"/>
      <c r="CN226" s="307"/>
      <c r="CO226" s="307"/>
      <c r="CP226" s="307"/>
      <c r="CQ226" s="307"/>
      <c r="CR226" s="307"/>
      <c r="CS226" s="307"/>
      <c r="CT226" s="307"/>
      <c r="CU226" s="307"/>
      <c r="CV226" s="307"/>
      <c r="CW226" s="307"/>
      <c r="CX226" s="307"/>
      <c r="CY226" s="307"/>
      <c r="CZ226" s="307"/>
      <c r="DA226" s="307"/>
      <c r="DB226" s="280"/>
      <c r="DC226" s="280"/>
      <c r="DD226" s="280"/>
      <c r="DE226" s="280"/>
      <c r="DF226" s="280"/>
      <c r="DG226" s="280"/>
      <c r="DH226" s="280"/>
      <c r="DI226" s="280"/>
      <c r="DJ226" s="280"/>
      <c r="DK226" s="280"/>
      <c r="DL226" s="280"/>
      <c r="DM226" s="280"/>
      <c r="DN226" s="280"/>
      <c r="DO226" s="280"/>
      <c r="DP226" s="280"/>
      <c r="DQ226" s="280"/>
      <c r="DR226" s="280"/>
      <c r="DS226" s="280"/>
      <c r="DT226" s="280"/>
      <c r="DU226" s="280"/>
      <c r="DV226" s="280"/>
      <c r="DW226" s="280"/>
      <c r="DX226" s="280"/>
      <c r="DY226" s="280"/>
      <c r="DZ226" s="280"/>
      <c r="EA226" s="280"/>
      <c r="EB226" s="280"/>
      <c r="EC226" s="280"/>
      <c r="ED226" s="280"/>
      <c r="EE226" s="280"/>
      <c r="EF226" s="280"/>
      <c r="EG226" s="280"/>
      <c r="EH226" s="280"/>
      <c r="EI226" s="280"/>
      <c r="EJ226" s="280"/>
      <c r="EK226" s="280"/>
      <c r="EL226" s="280"/>
      <c r="EM226" s="280"/>
      <c r="EN226" s="280"/>
      <c r="EO226" s="280"/>
      <c r="EP226" s="521"/>
      <c r="EQ226" s="521"/>
      <c r="ER226" s="521"/>
      <c r="ES226" s="521"/>
      <c r="ET226" s="521"/>
      <c r="EU226" s="521"/>
      <c r="EV226" s="521"/>
      <c r="EW226" s="521"/>
      <c r="EX226" s="521"/>
      <c r="EY226" s="521"/>
      <c r="EZ226" s="521"/>
      <c r="FA226" s="521"/>
      <c r="FB226" s="521"/>
      <c r="FC226" s="521"/>
      <c r="FD226" s="521"/>
      <c r="FE226" s="521"/>
      <c r="FF226" s="521"/>
      <c r="FG226" s="521"/>
      <c r="FH226" s="567"/>
      <c r="FI226" s="567"/>
      <c r="FJ226" s="567"/>
      <c r="FK226" s="567"/>
      <c r="FL226" s="567"/>
      <c r="FM226" s="567"/>
      <c r="FN226" s="567"/>
      <c r="FO226" s="567"/>
    </row>
    <row r="227" spans="1:171" s="568" customFormat="1" ht="13.9" customHeight="1">
      <c r="A227" s="566"/>
      <c r="B227" s="566"/>
      <c r="C227" s="566"/>
      <c r="D227" s="546"/>
      <c r="E227" s="547"/>
      <c r="F227" s="548"/>
      <c r="G227" s="548"/>
      <c r="H227" s="548"/>
      <c r="I227" s="548"/>
      <c r="J227" s="548"/>
      <c r="K227" s="549"/>
      <c r="L227" s="546"/>
      <c r="M227" s="546"/>
      <c r="N227" s="546"/>
      <c r="O227" s="546"/>
      <c r="P227" s="545"/>
      <c r="Q227" s="545"/>
      <c r="R227" s="545"/>
      <c r="S227" s="545"/>
      <c r="T227" s="545"/>
      <c r="U227" s="545"/>
      <c r="V227" s="545"/>
      <c r="W227" s="545"/>
      <c r="X227" s="553"/>
      <c r="Y227" s="553"/>
      <c r="Z227" s="553"/>
      <c r="AA227" s="554"/>
      <c r="AB227" s="550"/>
      <c r="AC227" s="550"/>
      <c r="AD227" s="550"/>
      <c r="AE227" s="307"/>
      <c r="AF227" s="307"/>
      <c r="AG227" s="307"/>
      <c r="AH227" s="307"/>
      <c r="AI227" s="307"/>
      <c r="AJ227" s="307"/>
      <c r="AK227" s="307"/>
      <c r="AL227" s="307"/>
      <c r="AM227" s="307"/>
      <c r="AN227" s="307"/>
      <c r="AO227" s="307"/>
      <c r="AP227" s="307"/>
      <c r="AQ227" s="307"/>
      <c r="AR227" s="307"/>
      <c r="AS227" s="307"/>
      <c r="AT227" s="307"/>
      <c r="AU227" s="307"/>
      <c r="AV227" s="307"/>
      <c r="AW227" s="307"/>
      <c r="AX227" s="307"/>
      <c r="AY227" s="307"/>
      <c r="AZ227" s="307"/>
      <c r="BA227" s="307"/>
      <c r="BB227" s="307"/>
      <c r="BC227" s="307"/>
      <c r="BD227" s="307"/>
      <c r="BE227" s="307"/>
      <c r="BF227" s="307"/>
      <c r="BG227" s="307"/>
      <c r="BH227" s="307"/>
      <c r="BI227" s="307"/>
      <c r="BJ227" s="307"/>
      <c r="BK227" s="307"/>
      <c r="BL227" s="307"/>
      <c r="BM227" s="307"/>
      <c r="BN227" s="307"/>
      <c r="BO227" s="307"/>
      <c r="BP227" s="307"/>
      <c r="BQ227" s="307"/>
      <c r="BR227" s="307"/>
      <c r="BS227" s="307"/>
      <c r="BT227" s="307"/>
      <c r="BU227" s="307"/>
      <c r="BV227" s="307"/>
      <c r="BW227" s="307"/>
      <c r="BX227" s="307"/>
      <c r="BY227" s="307"/>
      <c r="BZ227" s="307"/>
      <c r="CA227" s="307"/>
      <c r="CB227" s="307"/>
      <c r="CC227" s="307"/>
      <c r="CD227" s="307"/>
      <c r="CE227" s="307"/>
      <c r="CF227" s="307"/>
      <c r="CG227" s="307"/>
      <c r="CH227" s="307"/>
      <c r="CI227" s="307"/>
      <c r="CJ227" s="307"/>
      <c r="CK227" s="307"/>
      <c r="CL227" s="307"/>
      <c r="CM227" s="307"/>
      <c r="CN227" s="307"/>
      <c r="CO227" s="307"/>
      <c r="CP227" s="307"/>
      <c r="CQ227" s="307"/>
      <c r="CR227" s="307"/>
      <c r="CS227" s="307"/>
      <c r="CT227" s="307"/>
      <c r="CU227" s="307"/>
      <c r="CV227" s="307"/>
      <c r="CW227" s="307"/>
      <c r="CX227" s="307"/>
      <c r="CY227" s="307"/>
      <c r="CZ227" s="307"/>
      <c r="DA227" s="307"/>
      <c r="DB227" s="280"/>
      <c r="DC227" s="280"/>
      <c r="DD227" s="280"/>
      <c r="DE227" s="280"/>
      <c r="DF227" s="280"/>
      <c r="DG227" s="280"/>
      <c r="DH227" s="280"/>
      <c r="DI227" s="280"/>
      <c r="DJ227" s="280"/>
      <c r="DK227" s="280"/>
      <c r="DL227" s="280"/>
      <c r="DM227" s="280"/>
      <c r="DN227" s="280"/>
      <c r="DO227" s="280"/>
      <c r="DP227" s="280"/>
      <c r="DQ227" s="280"/>
      <c r="DR227" s="280"/>
      <c r="DS227" s="280"/>
      <c r="DT227" s="280"/>
      <c r="DU227" s="280"/>
      <c r="DV227" s="280"/>
      <c r="DW227" s="280"/>
      <c r="DX227" s="280"/>
      <c r="DY227" s="280"/>
      <c r="DZ227" s="280"/>
      <c r="EA227" s="280"/>
      <c r="EB227" s="280"/>
      <c r="EC227" s="280"/>
      <c r="ED227" s="280"/>
      <c r="EE227" s="280"/>
      <c r="EF227" s="280"/>
      <c r="EG227" s="280"/>
      <c r="EH227" s="280"/>
      <c r="EI227" s="280"/>
      <c r="EJ227" s="280"/>
      <c r="EK227" s="280"/>
      <c r="EL227" s="280"/>
      <c r="EM227" s="280"/>
      <c r="EN227" s="280"/>
      <c r="EO227" s="280"/>
      <c r="EP227" s="521"/>
      <c r="EQ227" s="521"/>
      <c r="ER227" s="521"/>
      <c r="ES227" s="521"/>
      <c r="ET227" s="521"/>
      <c r="EU227" s="521"/>
      <c r="EV227" s="521"/>
      <c r="EW227" s="521"/>
      <c r="EX227" s="521"/>
      <c r="EY227" s="521"/>
      <c r="EZ227" s="521"/>
      <c r="FA227" s="521"/>
      <c r="FB227" s="521"/>
      <c r="FC227" s="521"/>
      <c r="FD227" s="521"/>
      <c r="FE227" s="521"/>
      <c r="FF227" s="521"/>
      <c r="FG227" s="521"/>
      <c r="FH227" s="567"/>
      <c r="FI227" s="567"/>
      <c r="FJ227" s="567"/>
      <c r="FK227" s="567"/>
      <c r="FL227" s="567"/>
      <c r="FM227" s="567"/>
      <c r="FN227" s="567"/>
      <c r="FO227" s="567"/>
    </row>
    <row r="228" spans="1:171" s="568" customFormat="1" ht="13.9" customHeight="1">
      <c r="A228" s="566"/>
      <c r="B228" s="566"/>
      <c r="C228" s="566"/>
      <c r="D228" s="546"/>
      <c r="E228" s="547"/>
      <c r="F228" s="548"/>
      <c r="G228" s="548"/>
      <c r="H228" s="548"/>
      <c r="I228" s="548"/>
      <c r="J228" s="548"/>
      <c r="K228" s="549"/>
      <c r="L228" s="546"/>
      <c r="M228" s="546"/>
      <c r="N228" s="546"/>
      <c r="O228" s="546"/>
      <c r="P228" s="545"/>
      <c r="Q228" s="545"/>
      <c r="R228" s="545"/>
      <c r="S228" s="545"/>
      <c r="T228" s="545"/>
      <c r="U228" s="545"/>
      <c r="V228" s="545"/>
      <c r="W228" s="545"/>
      <c r="X228" s="553"/>
      <c r="Y228" s="553"/>
      <c r="Z228" s="553"/>
      <c r="AA228" s="554"/>
      <c r="AB228" s="550"/>
      <c r="AC228" s="550"/>
      <c r="AD228" s="550"/>
      <c r="AE228" s="307"/>
      <c r="AF228" s="307"/>
      <c r="AG228" s="307"/>
      <c r="AH228" s="307"/>
      <c r="AI228" s="307"/>
      <c r="AJ228" s="307"/>
      <c r="AK228" s="307"/>
      <c r="AL228" s="307"/>
      <c r="AM228" s="307"/>
      <c r="AN228" s="307"/>
      <c r="AO228" s="307"/>
      <c r="AP228" s="307"/>
      <c r="AQ228" s="307"/>
      <c r="AR228" s="307"/>
      <c r="AS228" s="307"/>
      <c r="AT228" s="307"/>
      <c r="AU228" s="307"/>
      <c r="AV228" s="307"/>
      <c r="AW228" s="307"/>
      <c r="AX228" s="307"/>
      <c r="AY228" s="307"/>
      <c r="AZ228" s="307"/>
      <c r="BA228" s="307"/>
      <c r="BB228" s="307"/>
      <c r="BC228" s="307"/>
      <c r="BD228" s="307"/>
      <c r="BE228" s="307"/>
      <c r="BF228" s="307"/>
      <c r="BG228" s="307"/>
      <c r="BH228" s="307"/>
      <c r="BI228" s="307"/>
      <c r="BJ228" s="307"/>
      <c r="BK228" s="307"/>
      <c r="BL228" s="307"/>
      <c r="BM228" s="307"/>
      <c r="BN228" s="307"/>
      <c r="BO228" s="307"/>
      <c r="BP228" s="307"/>
      <c r="BQ228" s="307"/>
      <c r="BR228" s="307"/>
      <c r="BS228" s="307"/>
      <c r="BT228" s="307"/>
      <c r="BU228" s="307"/>
      <c r="BV228" s="307"/>
      <c r="BW228" s="307"/>
      <c r="BX228" s="307"/>
      <c r="BY228" s="307"/>
      <c r="BZ228" s="307"/>
      <c r="CA228" s="307"/>
      <c r="CB228" s="307"/>
      <c r="CC228" s="307"/>
      <c r="CD228" s="307"/>
      <c r="CE228" s="307"/>
      <c r="CF228" s="307"/>
      <c r="CG228" s="307"/>
      <c r="CH228" s="307"/>
      <c r="CI228" s="307"/>
      <c r="CJ228" s="307"/>
      <c r="CK228" s="307"/>
      <c r="CL228" s="307"/>
      <c r="CM228" s="307"/>
      <c r="CN228" s="307"/>
      <c r="CO228" s="307"/>
      <c r="CP228" s="307"/>
      <c r="CQ228" s="307"/>
      <c r="CR228" s="307"/>
      <c r="CS228" s="307"/>
      <c r="CT228" s="307"/>
      <c r="CU228" s="307"/>
      <c r="CV228" s="307"/>
      <c r="CW228" s="307"/>
      <c r="CX228" s="307"/>
      <c r="CY228" s="307"/>
      <c r="CZ228" s="307"/>
      <c r="DA228" s="307"/>
      <c r="DB228" s="280"/>
      <c r="DC228" s="280"/>
      <c r="DD228" s="280"/>
      <c r="DE228" s="280"/>
      <c r="DF228" s="280"/>
      <c r="DG228" s="280"/>
      <c r="DH228" s="280"/>
      <c r="DI228" s="280"/>
      <c r="DJ228" s="280"/>
      <c r="DK228" s="280"/>
      <c r="DL228" s="280"/>
      <c r="DM228" s="280"/>
      <c r="DN228" s="280"/>
      <c r="DO228" s="280"/>
      <c r="DP228" s="280"/>
      <c r="DQ228" s="280"/>
      <c r="DR228" s="280"/>
      <c r="DS228" s="280"/>
      <c r="DT228" s="280"/>
      <c r="DU228" s="280"/>
      <c r="DV228" s="280"/>
      <c r="DW228" s="280"/>
      <c r="DX228" s="280"/>
      <c r="DY228" s="280"/>
      <c r="DZ228" s="280"/>
      <c r="EA228" s="280"/>
      <c r="EB228" s="280"/>
      <c r="EC228" s="280"/>
      <c r="ED228" s="280"/>
      <c r="EE228" s="280"/>
      <c r="EF228" s="280"/>
      <c r="EG228" s="280"/>
      <c r="EH228" s="280"/>
      <c r="EI228" s="280"/>
      <c r="EJ228" s="280"/>
      <c r="EK228" s="280"/>
      <c r="EL228" s="280"/>
      <c r="EM228" s="280"/>
      <c r="EN228" s="280"/>
      <c r="EO228" s="280"/>
      <c r="EP228" s="521"/>
      <c r="EQ228" s="521"/>
      <c r="ER228" s="521"/>
      <c r="ES228" s="521"/>
      <c r="ET228" s="521"/>
      <c r="EU228" s="521"/>
      <c r="EV228" s="521"/>
      <c r="EW228" s="521"/>
      <c r="EX228" s="521"/>
      <c r="EY228" s="521"/>
      <c r="EZ228" s="521"/>
      <c r="FA228" s="521"/>
      <c r="FB228" s="521"/>
      <c r="FC228" s="521"/>
      <c r="FD228" s="521"/>
      <c r="FE228" s="521"/>
      <c r="FF228" s="521"/>
      <c r="FG228" s="521"/>
      <c r="FH228" s="567"/>
      <c r="FI228" s="567"/>
      <c r="FJ228" s="567"/>
      <c r="FK228" s="567"/>
      <c r="FL228" s="567"/>
      <c r="FM228" s="567"/>
      <c r="FN228" s="567"/>
      <c r="FO228" s="567"/>
    </row>
    <row r="229" spans="1:171" s="568" customFormat="1" ht="13.9" customHeight="1">
      <c r="A229" s="566"/>
      <c r="B229" s="566"/>
      <c r="C229" s="566"/>
      <c r="D229" s="546"/>
      <c r="E229" s="547"/>
      <c r="F229" s="548"/>
      <c r="G229" s="548"/>
      <c r="H229" s="548"/>
      <c r="I229" s="548"/>
      <c r="J229" s="548"/>
      <c r="K229" s="549"/>
      <c r="L229" s="546"/>
      <c r="M229" s="546"/>
      <c r="N229" s="546"/>
      <c r="O229" s="546"/>
      <c r="P229" s="545"/>
      <c r="Q229" s="545"/>
      <c r="R229" s="545"/>
      <c r="S229" s="545"/>
      <c r="T229" s="545"/>
      <c r="U229" s="545"/>
      <c r="V229" s="545"/>
      <c r="W229" s="545"/>
      <c r="X229" s="553"/>
      <c r="Y229" s="553"/>
      <c r="Z229" s="553"/>
      <c r="AA229" s="554"/>
      <c r="AB229" s="550"/>
      <c r="AC229" s="550"/>
      <c r="AD229" s="550"/>
      <c r="AE229" s="307"/>
      <c r="AF229" s="307"/>
      <c r="AG229" s="307"/>
      <c r="AH229" s="307"/>
      <c r="AI229" s="307"/>
      <c r="AJ229" s="307"/>
      <c r="AK229" s="307"/>
      <c r="AL229" s="307"/>
      <c r="AM229" s="307"/>
      <c r="AN229" s="307"/>
      <c r="AO229" s="307"/>
      <c r="AP229" s="307"/>
      <c r="AQ229" s="307"/>
      <c r="AR229" s="307"/>
      <c r="AS229" s="307"/>
      <c r="AT229" s="307"/>
      <c r="AU229" s="307"/>
      <c r="AV229" s="307"/>
      <c r="AW229" s="307"/>
      <c r="AX229" s="307"/>
      <c r="AY229" s="307"/>
      <c r="AZ229" s="307"/>
      <c r="BA229" s="307"/>
      <c r="BB229" s="307"/>
      <c r="BC229" s="307"/>
      <c r="BD229" s="307"/>
      <c r="BE229" s="307"/>
      <c r="BF229" s="307"/>
      <c r="BG229" s="307"/>
      <c r="BH229" s="307"/>
      <c r="BI229" s="307"/>
      <c r="BJ229" s="307"/>
      <c r="BK229" s="307"/>
      <c r="BL229" s="307"/>
      <c r="BM229" s="307"/>
      <c r="BN229" s="307"/>
      <c r="BO229" s="307"/>
      <c r="BP229" s="307"/>
      <c r="BQ229" s="307"/>
      <c r="BR229" s="307"/>
      <c r="BS229" s="307"/>
      <c r="BT229" s="307"/>
      <c r="BU229" s="307"/>
      <c r="BV229" s="307"/>
      <c r="BW229" s="307"/>
      <c r="BX229" s="307"/>
      <c r="BY229" s="307"/>
      <c r="BZ229" s="307"/>
      <c r="CA229" s="307"/>
      <c r="CB229" s="307"/>
      <c r="CC229" s="307"/>
      <c r="CD229" s="307"/>
      <c r="CE229" s="307"/>
      <c r="CF229" s="307"/>
      <c r="CG229" s="307"/>
      <c r="CH229" s="307"/>
      <c r="CI229" s="307"/>
      <c r="CJ229" s="307"/>
      <c r="CK229" s="307"/>
      <c r="CL229" s="307"/>
      <c r="CM229" s="307"/>
      <c r="CN229" s="307"/>
      <c r="CO229" s="307"/>
      <c r="CP229" s="307"/>
      <c r="CQ229" s="307"/>
      <c r="CR229" s="307"/>
      <c r="CS229" s="307"/>
      <c r="CT229" s="307"/>
      <c r="CU229" s="307"/>
      <c r="CV229" s="307"/>
      <c r="CW229" s="307"/>
      <c r="CX229" s="307"/>
      <c r="CY229" s="307"/>
      <c r="CZ229" s="307"/>
      <c r="DA229" s="307"/>
      <c r="DB229" s="280"/>
      <c r="DC229" s="280"/>
      <c r="DD229" s="280"/>
      <c r="DE229" s="280"/>
      <c r="DF229" s="280"/>
      <c r="DG229" s="280"/>
      <c r="DH229" s="280"/>
      <c r="DI229" s="280"/>
      <c r="DJ229" s="280"/>
      <c r="DK229" s="280"/>
      <c r="DL229" s="280"/>
      <c r="DM229" s="280"/>
      <c r="DN229" s="280"/>
      <c r="DO229" s="280"/>
      <c r="DP229" s="280"/>
      <c r="DQ229" s="280"/>
      <c r="DR229" s="280"/>
      <c r="DS229" s="280"/>
      <c r="DT229" s="280"/>
      <c r="DU229" s="280"/>
      <c r="DV229" s="280"/>
      <c r="DW229" s="280"/>
      <c r="DX229" s="280"/>
      <c r="DY229" s="280"/>
      <c r="DZ229" s="280"/>
      <c r="EA229" s="280"/>
      <c r="EB229" s="280"/>
      <c r="EC229" s="280"/>
      <c r="ED229" s="280"/>
      <c r="EE229" s="280"/>
      <c r="EF229" s="280"/>
      <c r="EG229" s="280"/>
      <c r="EH229" s="280"/>
      <c r="EI229" s="280"/>
      <c r="EJ229" s="280"/>
      <c r="EK229" s="280"/>
      <c r="EL229" s="280"/>
      <c r="EM229" s="280"/>
      <c r="EN229" s="280"/>
      <c r="EO229" s="280"/>
      <c r="EP229" s="521"/>
      <c r="EQ229" s="521"/>
      <c r="ER229" s="521"/>
      <c r="ES229" s="521"/>
      <c r="ET229" s="521"/>
      <c r="EU229" s="521"/>
      <c r="EV229" s="521"/>
      <c r="EW229" s="521"/>
      <c r="EX229" s="521"/>
      <c r="EY229" s="521"/>
      <c r="EZ229" s="521"/>
      <c r="FA229" s="521"/>
      <c r="FB229" s="521"/>
      <c r="FC229" s="521"/>
      <c r="FD229" s="521"/>
      <c r="FE229" s="521"/>
      <c r="FF229" s="521"/>
      <c r="FG229" s="521"/>
      <c r="FH229" s="567"/>
      <c r="FI229" s="567"/>
      <c r="FJ229" s="567"/>
      <c r="FK229" s="567"/>
      <c r="FL229" s="567"/>
      <c r="FM229" s="567"/>
      <c r="FN229" s="567"/>
      <c r="FO229" s="567"/>
    </row>
    <row r="230" spans="1:171" s="568" customFormat="1" ht="13.9" customHeight="1">
      <c r="A230" s="566"/>
      <c r="B230" s="566"/>
      <c r="C230" s="566"/>
      <c r="D230" s="546"/>
      <c r="E230" s="547"/>
      <c r="F230" s="548"/>
      <c r="G230" s="548"/>
      <c r="H230" s="548"/>
      <c r="I230" s="548"/>
      <c r="J230" s="548"/>
      <c r="K230" s="549"/>
      <c r="L230" s="546"/>
      <c r="M230" s="546"/>
      <c r="N230" s="546"/>
      <c r="O230" s="546"/>
      <c r="P230" s="545"/>
      <c r="Q230" s="545"/>
      <c r="R230" s="545"/>
      <c r="S230" s="545"/>
      <c r="T230" s="545"/>
      <c r="U230" s="545"/>
      <c r="V230" s="545"/>
      <c r="W230" s="545"/>
      <c r="X230" s="553"/>
      <c r="Y230" s="553"/>
      <c r="Z230" s="553"/>
      <c r="AA230" s="554"/>
      <c r="AB230" s="550"/>
      <c r="AC230" s="550"/>
      <c r="AD230" s="550"/>
      <c r="AE230" s="307"/>
      <c r="AF230" s="307"/>
      <c r="AG230" s="307"/>
      <c r="AH230" s="307"/>
      <c r="AI230" s="307"/>
      <c r="AJ230" s="307"/>
      <c r="AK230" s="307"/>
      <c r="AL230" s="307"/>
      <c r="AM230" s="307"/>
      <c r="AN230" s="307"/>
      <c r="AO230" s="307"/>
      <c r="AP230" s="307"/>
      <c r="AQ230" s="307"/>
      <c r="AR230" s="307"/>
      <c r="AS230" s="307"/>
      <c r="AT230" s="307"/>
      <c r="AU230" s="307"/>
      <c r="AV230" s="307"/>
      <c r="AW230" s="307"/>
      <c r="AX230" s="307"/>
      <c r="AY230" s="307"/>
      <c r="AZ230" s="307"/>
      <c r="BA230" s="307"/>
      <c r="BB230" s="307"/>
      <c r="BC230" s="307"/>
      <c r="BD230" s="307"/>
      <c r="BE230" s="307"/>
      <c r="BF230" s="307"/>
      <c r="BG230" s="307"/>
      <c r="BH230" s="307"/>
      <c r="BI230" s="307"/>
      <c r="BJ230" s="307"/>
      <c r="BK230" s="307"/>
      <c r="BL230" s="307"/>
      <c r="BM230" s="307"/>
      <c r="BN230" s="307"/>
      <c r="BO230" s="307"/>
      <c r="BP230" s="307"/>
      <c r="BQ230" s="307"/>
      <c r="BR230" s="307"/>
      <c r="BS230" s="307"/>
      <c r="BT230" s="307"/>
      <c r="BU230" s="307"/>
      <c r="BV230" s="307"/>
      <c r="BW230" s="307"/>
      <c r="BX230" s="307"/>
      <c r="BY230" s="307"/>
      <c r="BZ230" s="307"/>
      <c r="CA230" s="307"/>
      <c r="CB230" s="307"/>
      <c r="CC230" s="307"/>
      <c r="CD230" s="307"/>
      <c r="CE230" s="307"/>
      <c r="CF230" s="307"/>
      <c r="CG230" s="307"/>
      <c r="CH230" s="307"/>
      <c r="CI230" s="307"/>
      <c r="CJ230" s="307"/>
      <c r="CK230" s="307"/>
      <c r="CL230" s="307"/>
      <c r="CM230" s="307"/>
      <c r="CN230" s="307"/>
      <c r="CO230" s="307"/>
      <c r="CP230" s="307"/>
      <c r="CQ230" s="307"/>
      <c r="CR230" s="307"/>
      <c r="CS230" s="307"/>
      <c r="CT230" s="307"/>
      <c r="CU230" s="307"/>
      <c r="CV230" s="307"/>
      <c r="CW230" s="307"/>
      <c r="CX230" s="307"/>
      <c r="CY230" s="307"/>
      <c r="CZ230" s="307"/>
      <c r="DA230" s="307"/>
      <c r="DB230" s="280"/>
      <c r="DC230" s="280"/>
      <c r="DD230" s="280"/>
      <c r="DE230" s="280"/>
      <c r="DF230" s="280"/>
      <c r="DG230" s="280"/>
      <c r="DH230" s="280"/>
      <c r="DI230" s="280"/>
      <c r="DJ230" s="280"/>
      <c r="DK230" s="280"/>
      <c r="DL230" s="280"/>
      <c r="DM230" s="280"/>
      <c r="DN230" s="280"/>
      <c r="DO230" s="280"/>
      <c r="DP230" s="280"/>
      <c r="DQ230" s="280"/>
      <c r="DR230" s="280"/>
      <c r="DS230" s="280"/>
      <c r="DT230" s="280"/>
      <c r="DU230" s="280"/>
      <c r="DV230" s="280"/>
      <c r="DW230" s="280"/>
      <c r="DX230" s="280"/>
      <c r="DY230" s="280"/>
      <c r="DZ230" s="280"/>
      <c r="EA230" s="280"/>
      <c r="EB230" s="280"/>
      <c r="EC230" s="280"/>
      <c r="ED230" s="280"/>
      <c r="EE230" s="280"/>
      <c r="EF230" s="280"/>
      <c r="EG230" s="280"/>
      <c r="EH230" s="280"/>
      <c r="EI230" s="280"/>
      <c r="EJ230" s="280"/>
      <c r="EK230" s="280"/>
      <c r="EL230" s="280"/>
      <c r="EM230" s="280"/>
      <c r="EN230" s="280"/>
      <c r="EO230" s="280"/>
      <c r="EP230" s="521"/>
      <c r="EQ230" s="521"/>
      <c r="ER230" s="521"/>
      <c r="ES230" s="521"/>
      <c r="ET230" s="521"/>
      <c r="EU230" s="521"/>
      <c r="EV230" s="521"/>
      <c r="EW230" s="521"/>
      <c r="EX230" s="521"/>
      <c r="EY230" s="521"/>
      <c r="EZ230" s="521"/>
      <c r="FA230" s="521"/>
      <c r="FB230" s="521"/>
      <c r="FC230" s="521"/>
      <c r="FD230" s="521"/>
      <c r="FE230" s="521"/>
      <c r="FF230" s="521"/>
      <c r="FG230" s="521"/>
      <c r="FH230" s="567"/>
      <c r="FI230" s="567"/>
      <c r="FJ230" s="567"/>
      <c r="FK230" s="567"/>
      <c r="FL230" s="567"/>
      <c r="FM230" s="567"/>
      <c r="FN230" s="567"/>
      <c r="FO230" s="567"/>
    </row>
    <row r="231" spans="1:171" s="568" customFormat="1" ht="13.9" customHeight="1">
      <c r="A231" s="566"/>
      <c r="B231" s="566"/>
      <c r="C231" s="566"/>
      <c r="D231" s="546"/>
      <c r="E231" s="547"/>
      <c r="F231" s="548"/>
      <c r="G231" s="548"/>
      <c r="H231" s="548"/>
      <c r="I231" s="548"/>
      <c r="J231" s="548"/>
      <c r="K231" s="549"/>
      <c r="L231" s="546"/>
      <c r="M231" s="546"/>
      <c r="N231" s="546"/>
      <c r="O231" s="546"/>
      <c r="P231" s="545"/>
      <c r="Q231" s="545"/>
      <c r="R231" s="545"/>
      <c r="S231" s="545"/>
      <c r="T231" s="545"/>
      <c r="U231" s="545"/>
      <c r="V231" s="545"/>
      <c r="W231" s="545"/>
      <c r="X231" s="553"/>
      <c r="Y231" s="553"/>
      <c r="Z231" s="553"/>
      <c r="AA231" s="554"/>
      <c r="AB231" s="550"/>
      <c r="AC231" s="550"/>
      <c r="AD231" s="550"/>
      <c r="AE231" s="307"/>
      <c r="AF231" s="307"/>
      <c r="AG231" s="307"/>
      <c r="AH231" s="307"/>
      <c r="AI231" s="307"/>
      <c r="AJ231" s="307"/>
      <c r="AK231" s="307"/>
      <c r="AL231" s="307"/>
      <c r="AM231" s="307"/>
      <c r="AN231" s="307"/>
      <c r="AO231" s="307"/>
      <c r="AP231" s="307"/>
      <c r="AQ231" s="307"/>
      <c r="AR231" s="307"/>
      <c r="AS231" s="307"/>
      <c r="AT231" s="307"/>
      <c r="AU231" s="307"/>
      <c r="AV231" s="307"/>
      <c r="AW231" s="307"/>
      <c r="AX231" s="307"/>
      <c r="AY231" s="307"/>
      <c r="AZ231" s="307"/>
      <c r="BA231" s="307"/>
      <c r="BB231" s="307"/>
      <c r="BC231" s="307"/>
      <c r="BD231" s="307"/>
      <c r="BE231" s="307"/>
      <c r="BF231" s="307"/>
      <c r="BG231" s="307"/>
      <c r="BH231" s="307"/>
      <c r="BI231" s="307"/>
      <c r="BJ231" s="307"/>
      <c r="BK231" s="307"/>
      <c r="BL231" s="307"/>
      <c r="BM231" s="307"/>
      <c r="BN231" s="307"/>
      <c r="BO231" s="307"/>
      <c r="BP231" s="307"/>
      <c r="BQ231" s="307"/>
      <c r="BR231" s="307"/>
      <c r="BS231" s="307"/>
      <c r="BT231" s="307"/>
      <c r="BU231" s="307"/>
      <c r="BV231" s="307"/>
      <c r="BW231" s="307"/>
      <c r="BX231" s="307"/>
      <c r="BY231" s="307"/>
      <c r="BZ231" s="307"/>
      <c r="CA231" s="307"/>
      <c r="CB231" s="307"/>
      <c r="CC231" s="307"/>
      <c r="CD231" s="307"/>
      <c r="CE231" s="307"/>
      <c r="CF231" s="307"/>
      <c r="CG231" s="307"/>
      <c r="CH231" s="307"/>
      <c r="CI231" s="307"/>
      <c r="CJ231" s="307"/>
      <c r="CK231" s="307"/>
      <c r="CL231" s="307"/>
      <c r="CM231" s="307"/>
      <c r="CN231" s="307"/>
      <c r="CO231" s="307"/>
      <c r="CP231" s="307"/>
      <c r="CQ231" s="307"/>
      <c r="CR231" s="307"/>
      <c r="CS231" s="307"/>
      <c r="CT231" s="307"/>
      <c r="CU231" s="307"/>
      <c r="CV231" s="307"/>
      <c r="CW231" s="307"/>
      <c r="CX231" s="307"/>
      <c r="CY231" s="307"/>
      <c r="CZ231" s="307"/>
      <c r="DA231" s="307"/>
      <c r="DB231" s="280"/>
      <c r="DC231" s="280"/>
      <c r="DD231" s="280"/>
      <c r="DE231" s="280"/>
      <c r="DF231" s="280"/>
      <c r="DG231" s="280"/>
      <c r="DH231" s="280"/>
      <c r="DI231" s="280"/>
      <c r="DJ231" s="280"/>
      <c r="DK231" s="280"/>
      <c r="DL231" s="280"/>
      <c r="DM231" s="280"/>
      <c r="DN231" s="280"/>
      <c r="DO231" s="280"/>
      <c r="DP231" s="280"/>
      <c r="DQ231" s="280"/>
      <c r="DR231" s="280"/>
      <c r="DS231" s="280"/>
      <c r="DT231" s="280"/>
      <c r="DU231" s="280"/>
      <c r="DV231" s="280"/>
      <c r="DW231" s="280"/>
      <c r="DX231" s="280"/>
      <c r="DY231" s="280"/>
      <c r="DZ231" s="280"/>
      <c r="EA231" s="280"/>
      <c r="EB231" s="280"/>
      <c r="EC231" s="280"/>
      <c r="ED231" s="280"/>
      <c r="EE231" s="280"/>
      <c r="EF231" s="280"/>
      <c r="EG231" s="280"/>
      <c r="EH231" s="280"/>
      <c r="EI231" s="280"/>
      <c r="EJ231" s="280"/>
      <c r="EK231" s="280"/>
      <c r="EL231" s="280"/>
      <c r="EM231" s="280"/>
      <c r="EN231" s="280"/>
      <c r="EO231" s="280"/>
      <c r="EP231" s="521"/>
      <c r="EQ231" s="521"/>
      <c r="ER231" s="521"/>
      <c r="ES231" s="521"/>
      <c r="ET231" s="521"/>
      <c r="EU231" s="521"/>
      <c r="EV231" s="521"/>
      <c r="EW231" s="521"/>
      <c r="EX231" s="521"/>
      <c r="EY231" s="521"/>
      <c r="EZ231" s="521"/>
      <c r="FA231" s="521"/>
      <c r="FB231" s="521"/>
      <c r="FC231" s="521"/>
      <c r="FD231" s="521"/>
      <c r="FE231" s="521"/>
      <c r="FF231" s="521"/>
      <c r="FG231" s="521"/>
      <c r="FH231" s="567"/>
      <c r="FI231" s="567"/>
      <c r="FJ231" s="567"/>
      <c r="FK231" s="567"/>
      <c r="FL231" s="567"/>
      <c r="FM231" s="567"/>
      <c r="FN231" s="567"/>
      <c r="FO231" s="567"/>
    </row>
    <row r="232" spans="1:171" s="568" customFormat="1" ht="13.9" customHeight="1">
      <c r="A232" s="566"/>
      <c r="B232" s="566"/>
      <c r="C232" s="566"/>
      <c r="D232" s="546"/>
      <c r="E232" s="547"/>
      <c r="F232" s="548"/>
      <c r="G232" s="548"/>
      <c r="H232" s="548"/>
      <c r="I232" s="548"/>
      <c r="J232" s="548"/>
      <c r="K232" s="549"/>
      <c r="L232" s="546"/>
      <c r="M232" s="546"/>
      <c r="N232" s="546"/>
      <c r="O232" s="546"/>
      <c r="P232" s="545"/>
      <c r="Q232" s="545"/>
      <c r="R232" s="545"/>
      <c r="S232" s="545"/>
      <c r="T232" s="545"/>
      <c r="U232" s="545"/>
      <c r="V232" s="545"/>
      <c r="W232" s="545"/>
      <c r="X232" s="553"/>
      <c r="Y232" s="553"/>
      <c r="Z232" s="553"/>
      <c r="AA232" s="554"/>
      <c r="AB232" s="550"/>
      <c r="AC232" s="550"/>
      <c r="AD232" s="550"/>
      <c r="AE232" s="307"/>
      <c r="AF232" s="307"/>
      <c r="AG232" s="307"/>
      <c r="AH232" s="307"/>
      <c r="AI232" s="307"/>
      <c r="AJ232" s="307"/>
      <c r="AK232" s="307"/>
      <c r="AL232" s="307"/>
      <c r="AM232" s="307"/>
      <c r="AN232" s="307"/>
      <c r="AO232" s="307"/>
      <c r="AP232" s="307"/>
      <c r="AQ232" s="307"/>
      <c r="AR232" s="307"/>
      <c r="AS232" s="307"/>
      <c r="AT232" s="307"/>
      <c r="AU232" s="307"/>
      <c r="AV232" s="307"/>
      <c r="AW232" s="307"/>
      <c r="AX232" s="307"/>
      <c r="AY232" s="307"/>
      <c r="AZ232" s="307"/>
      <c r="BA232" s="307"/>
      <c r="BB232" s="307"/>
      <c r="BC232" s="307"/>
      <c r="BD232" s="307"/>
      <c r="BE232" s="307"/>
      <c r="BF232" s="307"/>
      <c r="BG232" s="307"/>
      <c r="BH232" s="307"/>
      <c r="BI232" s="307"/>
      <c r="BJ232" s="307"/>
      <c r="BK232" s="307"/>
      <c r="BL232" s="307"/>
      <c r="BM232" s="307"/>
      <c r="BN232" s="307"/>
      <c r="BO232" s="307"/>
      <c r="BP232" s="307"/>
      <c r="BQ232" s="307"/>
      <c r="BR232" s="307"/>
      <c r="BS232" s="307"/>
      <c r="BT232" s="307"/>
      <c r="BU232" s="307"/>
      <c r="BV232" s="307"/>
      <c r="BW232" s="307"/>
      <c r="BX232" s="307"/>
      <c r="BY232" s="307"/>
      <c r="BZ232" s="307"/>
      <c r="CA232" s="307"/>
      <c r="CB232" s="307"/>
      <c r="CC232" s="307"/>
      <c r="CD232" s="307"/>
      <c r="CE232" s="307"/>
      <c r="CF232" s="307"/>
      <c r="CG232" s="307"/>
      <c r="CH232" s="307"/>
      <c r="CI232" s="307"/>
      <c r="CJ232" s="307"/>
      <c r="CK232" s="307"/>
      <c r="CL232" s="307"/>
      <c r="CM232" s="307"/>
      <c r="CN232" s="307"/>
      <c r="CO232" s="307"/>
      <c r="CP232" s="307"/>
      <c r="CQ232" s="307"/>
      <c r="CR232" s="307"/>
      <c r="CS232" s="307"/>
      <c r="CT232" s="307"/>
      <c r="CU232" s="307"/>
      <c r="CV232" s="307"/>
      <c r="CW232" s="307"/>
      <c r="CX232" s="307"/>
      <c r="CY232" s="307"/>
      <c r="CZ232" s="307"/>
      <c r="DA232" s="307"/>
      <c r="DB232" s="280"/>
      <c r="DC232" s="280"/>
      <c r="DD232" s="280"/>
      <c r="DE232" s="280"/>
      <c r="DF232" s="280"/>
      <c r="DG232" s="280"/>
      <c r="DH232" s="280"/>
      <c r="DI232" s="280"/>
      <c r="DJ232" s="280"/>
      <c r="DK232" s="280"/>
      <c r="DL232" s="280"/>
      <c r="DM232" s="280"/>
      <c r="DN232" s="280"/>
      <c r="DO232" s="280"/>
      <c r="DP232" s="280"/>
      <c r="DQ232" s="280"/>
      <c r="DR232" s="280"/>
      <c r="DS232" s="280"/>
      <c r="DT232" s="280"/>
      <c r="DU232" s="280"/>
      <c r="DV232" s="280"/>
      <c r="DW232" s="280"/>
      <c r="DX232" s="280"/>
      <c r="DY232" s="280"/>
      <c r="DZ232" s="280"/>
      <c r="EA232" s="280"/>
      <c r="EB232" s="280"/>
      <c r="EC232" s="280"/>
      <c r="ED232" s="280"/>
      <c r="EE232" s="280"/>
      <c r="EF232" s="280"/>
      <c r="EG232" s="280"/>
      <c r="EH232" s="280"/>
      <c r="EI232" s="280"/>
      <c r="EJ232" s="280"/>
      <c r="EK232" s="280"/>
      <c r="EL232" s="280"/>
      <c r="EM232" s="280"/>
      <c r="EN232" s="280"/>
      <c r="EO232" s="280"/>
      <c r="EP232" s="521"/>
      <c r="EQ232" s="521"/>
      <c r="ER232" s="521"/>
      <c r="ES232" s="521"/>
      <c r="ET232" s="521"/>
      <c r="EU232" s="521"/>
      <c r="EV232" s="521"/>
      <c r="EW232" s="521"/>
      <c r="EX232" s="521"/>
      <c r="EY232" s="521"/>
      <c r="EZ232" s="521"/>
      <c r="FA232" s="521"/>
      <c r="FB232" s="521"/>
      <c r="FC232" s="521"/>
      <c r="FD232" s="521"/>
      <c r="FE232" s="521"/>
      <c r="FF232" s="521"/>
      <c r="FG232" s="521"/>
      <c r="FH232" s="567"/>
      <c r="FI232" s="567"/>
      <c r="FJ232" s="567"/>
      <c r="FK232" s="567"/>
      <c r="FL232" s="567"/>
      <c r="FM232" s="567"/>
      <c r="FN232" s="567"/>
      <c r="FO232" s="567"/>
    </row>
    <row r="233" spans="1:171" s="568" customFormat="1" ht="13.9" customHeight="1">
      <c r="A233" s="566"/>
      <c r="B233" s="566"/>
      <c r="C233" s="566"/>
      <c r="D233" s="546"/>
      <c r="E233" s="547"/>
      <c r="F233" s="548"/>
      <c r="G233" s="548"/>
      <c r="H233" s="548"/>
      <c r="I233" s="548"/>
      <c r="J233" s="548"/>
      <c r="K233" s="549"/>
      <c r="L233" s="546"/>
      <c r="M233" s="546"/>
      <c r="N233" s="546"/>
      <c r="O233" s="546"/>
      <c r="P233" s="545"/>
      <c r="Q233" s="545"/>
      <c r="R233" s="545"/>
      <c r="S233" s="545"/>
      <c r="T233" s="545"/>
      <c r="U233" s="545"/>
      <c r="V233" s="545"/>
      <c r="W233" s="545"/>
      <c r="X233" s="553"/>
      <c r="Y233" s="553"/>
      <c r="Z233" s="553"/>
      <c r="AA233" s="554"/>
      <c r="AB233" s="550"/>
      <c r="AC233" s="550"/>
      <c r="AD233" s="550"/>
      <c r="AE233" s="307"/>
      <c r="AF233" s="307"/>
      <c r="AG233" s="307"/>
      <c r="AH233" s="307"/>
      <c r="AI233" s="307"/>
      <c r="AJ233" s="307"/>
      <c r="AK233" s="307"/>
      <c r="AL233" s="307"/>
      <c r="AM233" s="307"/>
      <c r="AN233" s="307"/>
      <c r="AO233" s="307"/>
      <c r="AP233" s="307"/>
      <c r="AQ233" s="307"/>
      <c r="AR233" s="307"/>
      <c r="AS233" s="307"/>
      <c r="AT233" s="307"/>
      <c r="AU233" s="307"/>
      <c r="AV233" s="307"/>
      <c r="AW233" s="307"/>
      <c r="AX233" s="307"/>
      <c r="AY233" s="307"/>
      <c r="AZ233" s="307"/>
      <c r="BA233" s="307"/>
      <c r="BB233" s="307"/>
      <c r="BC233" s="307"/>
      <c r="BD233" s="307"/>
      <c r="BE233" s="307"/>
      <c r="BF233" s="307"/>
      <c r="BG233" s="307"/>
      <c r="BH233" s="307"/>
      <c r="BI233" s="307"/>
      <c r="BJ233" s="307"/>
      <c r="BK233" s="307"/>
      <c r="BL233" s="307"/>
      <c r="BM233" s="307"/>
      <c r="BN233" s="307"/>
      <c r="BO233" s="307"/>
      <c r="BP233" s="307"/>
      <c r="BQ233" s="307"/>
      <c r="BR233" s="307"/>
      <c r="BS233" s="307"/>
      <c r="BT233" s="307"/>
      <c r="BU233" s="307"/>
      <c r="BV233" s="307"/>
      <c r="BW233" s="307"/>
      <c r="BX233" s="307"/>
      <c r="BY233" s="307"/>
      <c r="BZ233" s="307"/>
      <c r="CA233" s="307"/>
      <c r="CB233" s="307"/>
      <c r="CC233" s="307"/>
      <c r="CD233" s="307"/>
      <c r="CE233" s="307"/>
      <c r="CF233" s="307"/>
      <c r="CG233" s="307"/>
      <c r="CH233" s="307"/>
      <c r="CI233" s="307"/>
      <c r="CJ233" s="307"/>
      <c r="CK233" s="307"/>
      <c r="CL233" s="307"/>
      <c r="CM233" s="307"/>
      <c r="CN233" s="307"/>
      <c r="CO233" s="307"/>
      <c r="CP233" s="307"/>
      <c r="CQ233" s="307"/>
      <c r="CR233" s="307"/>
      <c r="CS233" s="307"/>
      <c r="CT233" s="307"/>
      <c r="CU233" s="307"/>
      <c r="CV233" s="307"/>
      <c r="CW233" s="307"/>
      <c r="CX233" s="307"/>
      <c r="CY233" s="307"/>
      <c r="CZ233" s="307"/>
      <c r="DA233" s="307"/>
      <c r="DB233" s="280"/>
      <c r="DC233" s="280"/>
      <c r="DD233" s="280"/>
      <c r="DE233" s="280"/>
      <c r="DF233" s="280"/>
      <c r="DG233" s="280"/>
      <c r="DH233" s="280"/>
      <c r="DI233" s="280"/>
      <c r="DJ233" s="280"/>
      <c r="DK233" s="280"/>
      <c r="DL233" s="280"/>
      <c r="DM233" s="280"/>
      <c r="DN233" s="280"/>
      <c r="DO233" s="280"/>
      <c r="DP233" s="280"/>
      <c r="DQ233" s="280"/>
      <c r="DR233" s="280"/>
      <c r="DS233" s="280"/>
      <c r="DT233" s="280"/>
      <c r="DU233" s="280"/>
      <c r="DV233" s="280"/>
      <c r="DW233" s="280"/>
      <c r="DX233" s="280"/>
      <c r="DY233" s="280"/>
      <c r="DZ233" s="280"/>
      <c r="EA233" s="280"/>
      <c r="EB233" s="280"/>
      <c r="EC233" s="280"/>
      <c r="ED233" s="280"/>
      <c r="EE233" s="280"/>
      <c r="EF233" s="280"/>
      <c r="EG233" s="280"/>
      <c r="EH233" s="280"/>
      <c r="EI233" s="280"/>
      <c r="EJ233" s="280"/>
      <c r="EK233" s="280"/>
      <c r="EL233" s="280"/>
      <c r="EM233" s="280"/>
      <c r="EN233" s="280"/>
      <c r="EO233" s="280"/>
      <c r="EP233" s="521"/>
      <c r="EQ233" s="521"/>
      <c r="ER233" s="521"/>
      <c r="ES233" s="521"/>
      <c r="ET233" s="521"/>
      <c r="EU233" s="521"/>
      <c r="EV233" s="521"/>
      <c r="EW233" s="521"/>
      <c r="EX233" s="521"/>
      <c r="EY233" s="521"/>
      <c r="EZ233" s="521"/>
      <c r="FA233" s="521"/>
      <c r="FB233" s="521"/>
      <c r="FC233" s="521"/>
      <c r="FD233" s="521"/>
      <c r="FE233" s="521"/>
      <c r="FF233" s="521"/>
      <c r="FG233" s="521"/>
      <c r="FH233" s="567"/>
      <c r="FI233" s="567"/>
      <c r="FJ233" s="567"/>
      <c r="FK233" s="567"/>
      <c r="FL233" s="567"/>
      <c r="FM233" s="567"/>
      <c r="FN233" s="567"/>
      <c r="FO233" s="567"/>
    </row>
    <row r="234" spans="1:171" s="568" customFormat="1" ht="13.9" customHeight="1">
      <c r="A234" s="566"/>
      <c r="B234" s="566"/>
      <c r="C234" s="566"/>
      <c r="D234" s="546"/>
      <c r="E234" s="547"/>
      <c r="F234" s="548"/>
      <c r="G234" s="548"/>
      <c r="H234" s="548"/>
      <c r="I234" s="548"/>
      <c r="J234" s="548"/>
      <c r="K234" s="549"/>
      <c r="L234" s="546"/>
      <c r="M234" s="546"/>
      <c r="N234" s="546"/>
      <c r="O234" s="546"/>
      <c r="P234" s="545"/>
      <c r="Q234" s="545"/>
      <c r="R234" s="545"/>
      <c r="S234" s="545"/>
      <c r="T234" s="545"/>
      <c r="U234" s="545"/>
      <c r="V234" s="545"/>
      <c r="W234" s="545"/>
      <c r="X234" s="553"/>
      <c r="Y234" s="553"/>
      <c r="Z234" s="553"/>
      <c r="AA234" s="554"/>
      <c r="AB234" s="550"/>
      <c r="AC234" s="550"/>
      <c r="AD234" s="550"/>
      <c r="AE234" s="307"/>
      <c r="AF234" s="307"/>
      <c r="AG234" s="307"/>
      <c r="AH234" s="307"/>
      <c r="AI234" s="307"/>
      <c r="AJ234" s="307"/>
      <c r="AK234" s="307"/>
      <c r="AL234" s="307"/>
      <c r="AM234" s="307"/>
      <c r="AN234" s="307"/>
      <c r="AO234" s="307"/>
      <c r="AP234" s="307"/>
      <c r="AQ234" s="307"/>
      <c r="AR234" s="307"/>
      <c r="AS234" s="307"/>
      <c r="AT234" s="307"/>
      <c r="AU234" s="307"/>
      <c r="AV234" s="307"/>
      <c r="AW234" s="307"/>
      <c r="AX234" s="307"/>
      <c r="AY234" s="307"/>
      <c r="AZ234" s="307"/>
      <c r="BA234" s="307"/>
      <c r="BB234" s="307"/>
      <c r="BC234" s="307"/>
      <c r="BD234" s="307"/>
      <c r="BE234" s="307"/>
      <c r="BF234" s="307"/>
      <c r="BG234" s="307"/>
      <c r="BH234" s="307"/>
      <c r="BI234" s="307"/>
      <c r="BJ234" s="307"/>
      <c r="BK234" s="307"/>
      <c r="BL234" s="307"/>
      <c r="BM234" s="307"/>
      <c r="BN234" s="307"/>
      <c r="BO234" s="307"/>
      <c r="BP234" s="307"/>
      <c r="BQ234" s="307"/>
      <c r="BR234" s="307"/>
      <c r="BS234" s="307"/>
      <c r="BT234" s="307"/>
      <c r="BU234" s="307"/>
      <c r="BV234" s="307"/>
      <c r="BW234" s="307"/>
      <c r="BX234" s="307"/>
      <c r="BY234" s="307"/>
      <c r="BZ234" s="307"/>
      <c r="CA234" s="307"/>
      <c r="CB234" s="307"/>
      <c r="CC234" s="307"/>
      <c r="CD234" s="307"/>
      <c r="CE234" s="307"/>
      <c r="CF234" s="307"/>
      <c r="CG234" s="307"/>
      <c r="CH234" s="307"/>
      <c r="CI234" s="307"/>
      <c r="CJ234" s="307"/>
      <c r="CK234" s="307"/>
      <c r="CL234" s="307"/>
      <c r="CM234" s="307"/>
      <c r="CN234" s="307"/>
      <c r="CO234" s="307"/>
      <c r="CP234" s="307"/>
      <c r="CQ234" s="307"/>
      <c r="CR234" s="307"/>
      <c r="CS234" s="307"/>
      <c r="CT234" s="307"/>
      <c r="CU234" s="307"/>
      <c r="CV234" s="307"/>
      <c r="CW234" s="307"/>
      <c r="CX234" s="307"/>
      <c r="CY234" s="307"/>
      <c r="CZ234" s="307"/>
      <c r="DA234" s="307"/>
      <c r="DB234" s="280"/>
      <c r="DC234" s="280"/>
      <c r="DD234" s="280"/>
      <c r="DE234" s="280"/>
      <c r="DF234" s="280"/>
      <c r="DG234" s="280"/>
      <c r="DH234" s="280"/>
      <c r="DI234" s="280"/>
      <c r="DJ234" s="280"/>
      <c r="DK234" s="280"/>
      <c r="DL234" s="280"/>
      <c r="DM234" s="280"/>
      <c r="DN234" s="280"/>
      <c r="DO234" s="280"/>
      <c r="DP234" s="280"/>
      <c r="DQ234" s="280"/>
      <c r="DR234" s="280"/>
      <c r="DS234" s="280"/>
      <c r="DT234" s="280"/>
      <c r="DU234" s="280"/>
      <c r="DV234" s="280"/>
      <c r="DW234" s="280"/>
      <c r="DX234" s="280"/>
      <c r="DY234" s="280"/>
      <c r="DZ234" s="280"/>
      <c r="EA234" s="280"/>
      <c r="EB234" s="280"/>
      <c r="EC234" s="280"/>
      <c r="ED234" s="280"/>
      <c r="EE234" s="280"/>
      <c r="EF234" s="280"/>
      <c r="EG234" s="280"/>
      <c r="EH234" s="280"/>
      <c r="EI234" s="280"/>
      <c r="EJ234" s="280"/>
      <c r="EK234" s="280"/>
      <c r="EL234" s="280"/>
      <c r="EM234" s="280"/>
      <c r="EN234" s="280"/>
      <c r="EO234" s="280"/>
      <c r="EP234" s="521"/>
      <c r="EQ234" s="521"/>
      <c r="ER234" s="521"/>
      <c r="ES234" s="521"/>
      <c r="ET234" s="521"/>
      <c r="EU234" s="521"/>
      <c r="EV234" s="521"/>
      <c r="EW234" s="521"/>
      <c r="EX234" s="521"/>
      <c r="EY234" s="521"/>
      <c r="EZ234" s="521"/>
      <c r="FA234" s="521"/>
      <c r="FB234" s="521"/>
      <c r="FC234" s="521"/>
      <c r="FD234" s="521"/>
      <c r="FE234" s="521"/>
      <c r="FF234" s="521"/>
      <c r="FG234" s="521"/>
      <c r="FH234" s="567"/>
      <c r="FI234" s="567"/>
      <c r="FJ234" s="567"/>
      <c r="FK234" s="567"/>
      <c r="FL234" s="567"/>
      <c r="FM234" s="567"/>
      <c r="FN234" s="567"/>
      <c r="FO234" s="567"/>
    </row>
    <row r="235" spans="1:171" s="568" customFormat="1" ht="13.9" customHeight="1">
      <c r="A235" s="566"/>
      <c r="B235" s="566"/>
      <c r="C235" s="566"/>
      <c r="D235" s="546"/>
      <c r="E235" s="547"/>
      <c r="F235" s="548"/>
      <c r="G235" s="548"/>
      <c r="H235" s="548"/>
      <c r="I235" s="548"/>
      <c r="J235" s="548"/>
      <c r="K235" s="549"/>
      <c r="L235" s="546"/>
      <c r="M235" s="546"/>
      <c r="N235" s="546"/>
      <c r="O235" s="546"/>
      <c r="P235" s="545"/>
      <c r="Q235" s="545"/>
      <c r="R235" s="545"/>
      <c r="S235" s="545"/>
      <c r="T235" s="545"/>
      <c r="U235" s="545"/>
      <c r="V235" s="545"/>
      <c r="W235" s="545"/>
      <c r="X235" s="553"/>
      <c r="Y235" s="553"/>
      <c r="Z235" s="553"/>
      <c r="AA235" s="554"/>
      <c r="AB235" s="550"/>
      <c r="AC235" s="550"/>
      <c r="AD235" s="550"/>
      <c r="AE235" s="307"/>
      <c r="AF235" s="307"/>
      <c r="AG235" s="307"/>
      <c r="AH235" s="307"/>
      <c r="AI235" s="307"/>
      <c r="AJ235" s="307"/>
      <c r="AK235" s="307"/>
      <c r="AL235" s="307"/>
      <c r="AM235" s="307"/>
      <c r="AN235" s="307"/>
      <c r="AO235" s="307"/>
      <c r="AP235" s="307"/>
      <c r="AQ235" s="307"/>
      <c r="AR235" s="307"/>
      <c r="AS235" s="307"/>
      <c r="AT235" s="307"/>
      <c r="AU235" s="307"/>
      <c r="AV235" s="307"/>
      <c r="AW235" s="307"/>
      <c r="AX235" s="307"/>
      <c r="AY235" s="307"/>
      <c r="AZ235" s="307"/>
      <c r="BA235" s="307"/>
      <c r="BB235" s="307"/>
      <c r="BC235" s="307"/>
      <c r="BD235" s="307"/>
      <c r="BE235" s="307"/>
      <c r="BF235" s="307"/>
      <c r="BG235" s="307"/>
      <c r="BH235" s="307"/>
      <c r="BI235" s="307"/>
      <c r="BJ235" s="307"/>
      <c r="BK235" s="307"/>
      <c r="BL235" s="307"/>
      <c r="BM235" s="307"/>
      <c r="BN235" s="307"/>
      <c r="BO235" s="307"/>
      <c r="BP235" s="307"/>
      <c r="BQ235" s="307"/>
      <c r="BR235" s="307"/>
      <c r="BS235" s="307"/>
      <c r="BT235" s="307"/>
      <c r="BU235" s="307"/>
      <c r="BV235" s="307"/>
      <c r="BW235" s="307"/>
      <c r="BX235" s="307"/>
      <c r="BY235" s="307"/>
      <c r="BZ235" s="307"/>
      <c r="CA235" s="307"/>
      <c r="CB235" s="307"/>
      <c r="CC235" s="307"/>
      <c r="CD235" s="307"/>
      <c r="CE235" s="307"/>
      <c r="CF235" s="307"/>
      <c r="CG235" s="307"/>
      <c r="CH235" s="307"/>
      <c r="CI235" s="307"/>
      <c r="CJ235" s="307"/>
      <c r="CK235" s="307"/>
      <c r="CL235" s="307"/>
      <c r="CM235" s="307"/>
      <c r="CN235" s="307"/>
      <c r="CO235" s="307"/>
      <c r="CP235" s="307"/>
      <c r="CQ235" s="307"/>
      <c r="CR235" s="307"/>
      <c r="CS235" s="307"/>
      <c r="CT235" s="307"/>
      <c r="CU235" s="307"/>
      <c r="CV235" s="307"/>
      <c r="CW235" s="307"/>
      <c r="CX235" s="307"/>
      <c r="CY235" s="307"/>
      <c r="CZ235" s="307"/>
      <c r="DA235" s="307"/>
      <c r="DB235" s="280"/>
      <c r="DC235" s="280"/>
      <c r="DD235" s="280"/>
      <c r="DE235" s="280"/>
      <c r="DF235" s="280"/>
      <c r="DG235" s="280"/>
      <c r="DH235" s="280"/>
      <c r="DI235" s="280"/>
      <c r="DJ235" s="280"/>
      <c r="DK235" s="280"/>
      <c r="DL235" s="280"/>
      <c r="DM235" s="280"/>
      <c r="DN235" s="280"/>
      <c r="DO235" s="280"/>
      <c r="DP235" s="280"/>
      <c r="DQ235" s="280"/>
      <c r="DR235" s="280"/>
      <c r="DS235" s="280"/>
      <c r="DT235" s="280"/>
      <c r="DU235" s="280"/>
      <c r="DV235" s="280"/>
      <c r="DW235" s="280"/>
      <c r="DX235" s="280"/>
      <c r="DY235" s="280"/>
      <c r="DZ235" s="280"/>
      <c r="EA235" s="280"/>
      <c r="EB235" s="280"/>
      <c r="EC235" s="280"/>
      <c r="ED235" s="280"/>
      <c r="EE235" s="280"/>
      <c r="EF235" s="280"/>
      <c r="EG235" s="280"/>
      <c r="EH235" s="280"/>
      <c r="EI235" s="280"/>
      <c r="EJ235" s="280"/>
      <c r="EK235" s="280"/>
      <c r="EL235" s="280"/>
      <c r="EM235" s="280"/>
      <c r="EN235" s="280"/>
      <c r="EO235" s="280"/>
      <c r="EP235" s="521"/>
      <c r="EQ235" s="521"/>
      <c r="ER235" s="521"/>
      <c r="ES235" s="521"/>
      <c r="ET235" s="521"/>
      <c r="EU235" s="521"/>
      <c r="EV235" s="521"/>
      <c r="EW235" s="521"/>
      <c r="EX235" s="521"/>
      <c r="EY235" s="521"/>
      <c r="EZ235" s="521"/>
      <c r="FA235" s="521"/>
      <c r="FB235" s="521"/>
      <c r="FC235" s="521"/>
      <c r="FD235" s="521"/>
      <c r="FE235" s="521"/>
      <c r="FF235" s="521"/>
      <c r="FG235" s="521"/>
      <c r="FH235" s="567"/>
      <c r="FI235" s="567"/>
      <c r="FJ235" s="567"/>
      <c r="FK235" s="567"/>
      <c r="FL235" s="567"/>
      <c r="FM235" s="567"/>
      <c r="FN235" s="567"/>
      <c r="FO235" s="567"/>
    </row>
    <row r="236" spans="1:171" s="568" customFormat="1" ht="13.9" customHeight="1">
      <c r="A236" s="566"/>
      <c r="B236" s="566"/>
      <c r="C236" s="566"/>
      <c r="D236" s="546"/>
      <c r="E236" s="547"/>
      <c r="F236" s="548"/>
      <c r="G236" s="548"/>
      <c r="H236" s="548"/>
      <c r="I236" s="548"/>
      <c r="J236" s="548"/>
      <c r="K236" s="549"/>
      <c r="L236" s="546"/>
      <c r="M236" s="546"/>
      <c r="N236" s="546"/>
      <c r="O236" s="546"/>
      <c r="P236" s="545"/>
      <c r="Q236" s="545"/>
      <c r="R236" s="545"/>
      <c r="S236" s="545"/>
      <c r="T236" s="545"/>
      <c r="U236" s="545"/>
      <c r="V236" s="545"/>
      <c r="W236" s="545"/>
      <c r="X236" s="553"/>
      <c r="Y236" s="553"/>
      <c r="Z236" s="553"/>
      <c r="AA236" s="554"/>
      <c r="AB236" s="550"/>
      <c r="AC236" s="550"/>
      <c r="AD236" s="550"/>
      <c r="AE236" s="307"/>
      <c r="AF236" s="307"/>
      <c r="AG236" s="307"/>
      <c r="AH236" s="307"/>
      <c r="AI236" s="307"/>
      <c r="AJ236" s="307"/>
      <c r="AK236" s="307"/>
      <c r="AL236" s="307"/>
      <c r="AM236" s="307"/>
      <c r="AN236" s="307"/>
      <c r="AO236" s="307"/>
      <c r="AP236" s="307"/>
      <c r="AQ236" s="307"/>
      <c r="AR236" s="307"/>
      <c r="AS236" s="307"/>
      <c r="AT236" s="307"/>
      <c r="AU236" s="307"/>
      <c r="AV236" s="307"/>
      <c r="AW236" s="307"/>
      <c r="AX236" s="307"/>
      <c r="AY236" s="307"/>
      <c r="AZ236" s="307"/>
      <c r="BA236" s="307"/>
      <c r="BB236" s="307"/>
      <c r="BC236" s="307"/>
      <c r="BD236" s="307"/>
      <c r="BE236" s="307"/>
      <c r="BF236" s="307"/>
      <c r="BG236" s="307"/>
      <c r="BH236" s="307"/>
      <c r="BI236" s="307"/>
      <c r="BJ236" s="307"/>
      <c r="BK236" s="307"/>
      <c r="BL236" s="307"/>
      <c r="BM236" s="307"/>
      <c r="BN236" s="307"/>
      <c r="BO236" s="307"/>
      <c r="BP236" s="307"/>
      <c r="BQ236" s="307"/>
      <c r="BR236" s="307"/>
      <c r="BS236" s="307"/>
      <c r="BT236" s="307"/>
      <c r="BU236" s="307"/>
      <c r="BV236" s="307"/>
      <c r="BW236" s="307"/>
      <c r="BX236" s="307"/>
      <c r="BY236" s="307"/>
      <c r="BZ236" s="307"/>
      <c r="CA236" s="307"/>
      <c r="CB236" s="307"/>
      <c r="CC236" s="307"/>
      <c r="CD236" s="307"/>
      <c r="CE236" s="307"/>
      <c r="CF236" s="307"/>
      <c r="CG236" s="307"/>
      <c r="CH236" s="307"/>
      <c r="CI236" s="307"/>
      <c r="CJ236" s="307"/>
      <c r="CK236" s="307"/>
      <c r="CL236" s="307"/>
      <c r="CM236" s="307"/>
      <c r="CN236" s="307"/>
      <c r="CO236" s="307"/>
      <c r="CP236" s="307"/>
      <c r="CQ236" s="307"/>
      <c r="CR236" s="307"/>
      <c r="CS236" s="307"/>
      <c r="CT236" s="307"/>
      <c r="CU236" s="307"/>
      <c r="CV236" s="307"/>
      <c r="CW236" s="307"/>
      <c r="CX236" s="307"/>
      <c r="CY236" s="307"/>
      <c r="CZ236" s="307"/>
      <c r="DA236" s="307"/>
      <c r="DB236" s="280"/>
      <c r="DC236" s="280"/>
      <c r="DD236" s="280"/>
      <c r="DE236" s="280"/>
      <c r="DF236" s="280"/>
      <c r="DG236" s="280"/>
      <c r="DH236" s="280"/>
      <c r="DI236" s="280"/>
      <c r="DJ236" s="280"/>
      <c r="DK236" s="280"/>
      <c r="DL236" s="280"/>
      <c r="DM236" s="280"/>
      <c r="DN236" s="280"/>
      <c r="DO236" s="280"/>
      <c r="DP236" s="280"/>
      <c r="DQ236" s="280"/>
      <c r="DR236" s="280"/>
      <c r="DS236" s="280"/>
      <c r="DT236" s="280"/>
      <c r="DU236" s="280"/>
      <c r="DV236" s="280"/>
      <c r="DW236" s="280"/>
      <c r="DX236" s="280"/>
      <c r="DY236" s="280"/>
      <c r="DZ236" s="280"/>
      <c r="EA236" s="280"/>
      <c r="EB236" s="280"/>
      <c r="EC236" s="280"/>
      <c r="ED236" s="280"/>
      <c r="EE236" s="280"/>
      <c r="EF236" s="280"/>
      <c r="EG236" s="280"/>
      <c r="EH236" s="280"/>
      <c r="EI236" s="280"/>
      <c r="EJ236" s="280"/>
      <c r="EK236" s="280"/>
      <c r="EL236" s="280"/>
      <c r="EM236" s="280"/>
      <c r="EN236" s="280"/>
      <c r="EO236" s="280"/>
      <c r="EP236" s="521"/>
      <c r="EQ236" s="521"/>
      <c r="ER236" s="521"/>
      <c r="ES236" s="521"/>
      <c r="ET236" s="521"/>
      <c r="EU236" s="521"/>
      <c r="EV236" s="521"/>
      <c r="EW236" s="521"/>
      <c r="EX236" s="521"/>
      <c r="EY236" s="521"/>
      <c r="EZ236" s="521"/>
      <c r="FA236" s="521"/>
      <c r="FB236" s="521"/>
      <c r="FC236" s="521"/>
      <c r="FD236" s="521"/>
      <c r="FE236" s="521"/>
      <c r="FF236" s="521"/>
      <c r="FG236" s="521"/>
      <c r="FH236" s="567"/>
      <c r="FI236" s="567"/>
      <c r="FJ236" s="567"/>
      <c r="FK236" s="567"/>
      <c r="FL236" s="567"/>
      <c r="FM236" s="567"/>
      <c r="FN236" s="567"/>
      <c r="FO236" s="567"/>
    </row>
    <row r="237" spans="1:171" s="568" customFormat="1" ht="13.9" customHeight="1">
      <c r="A237" s="566"/>
      <c r="B237" s="566"/>
      <c r="C237" s="566"/>
      <c r="D237" s="546"/>
      <c r="E237" s="547"/>
      <c r="F237" s="548"/>
      <c r="G237" s="548"/>
      <c r="H237" s="548"/>
      <c r="I237" s="548"/>
      <c r="J237" s="548"/>
      <c r="K237" s="549"/>
      <c r="L237" s="546"/>
      <c r="M237" s="546"/>
      <c r="N237" s="546"/>
      <c r="O237" s="546"/>
      <c r="P237" s="545"/>
      <c r="Q237" s="545"/>
      <c r="R237" s="545"/>
      <c r="S237" s="545"/>
      <c r="T237" s="545"/>
      <c r="U237" s="545"/>
      <c r="V237" s="545"/>
      <c r="W237" s="545"/>
      <c r="X237" s="553"/>
      <c r="Y237" s="553"/>
      <c r="Z237" s="553"/>
      <c r="AA237" s="554"/>
      <c r="AB237" s="550"/>
      <c r="AC237" s="550"/>
      <c r="AD237" s="550"/>
      <c r="AE237" s="307"/>
      <c r="AF237" s="307"/>
      <c r="AG237" s="307"/>
      <c r="AH237" s="307"/>
      <c r="AI237" s="307"/>
      <c r="AJ237" s="307"/>
      <c r="AK237" s="307"/>
      <c r="AL237" s="307"/>
      <c r="AM237" s="307"/>
      <c r="AN237" s="307"/>
      <c r="AO237" s="307"/>
      <c r="AP237" s="307"/>
      <c r="AQ237" s="307"/>
      <c r="AR237" s="307"/>
      <c r="AS237" s="307"/>
      <c r="AT237" s="307"/>
      <c r="AU237" s="307"/>
      <c r="AV237" s="307"/>
      <c r="AW237" s="307"/>
      <c r="AX237" s="307"/>
      <c r="AY237" s="307"/>
      <c r="AZ237" s="307"/>
      <c r="BA237" s="307"/>
      <c r="BB237" s="307"/>
      <c r="BC237" s="307"/>
      <c r="BD237" s="307"/>
      <c r="BE237" s="307"/>
      <c r="BF237" s="307"/>
      <c r="BG237" s="307"/>
      <c r="BH237" s="307"/>
      <c r="BI237" s="307"/>
      <c r="BJ237" s="307"/>
      <c r="BK237" s="307"/>
      <c r="BL237" s="307"/>
      <c r="BM237" s="307"/>
      <c r="BN237" s="307"/>
      <c r="BO237" s="307"/>
      <c r="BP237" s="307"/>
      <c r="BQ237" s="307"/>
      <c r="BR237" s="307"/>
      <c r="BS237" s="307"/>
      <c r="BT237" s="307"/>
      <c r="BU237" s="307"/>
      <c r="BV237" s="307"/>
      <c r="BW237" s="307"/>
      <c r="BX237" s="307"/>
      <c r="BY237" s="307"/>
      <c r="BZ237" s="307"/>
      <c r="CA237" s="307"/>
      <c r="CB237" s="307"/>
      <c r="CC237" s="307"/>
      <c r="CD237" s="307"/>
      <c r="CE237" s="307"/>
      <c r="CF237" s="307"/>
      <c r="CG237" s="307"/>
      <c r="CH237" s="307"/>
      <c r="CI237" s="307"/>
      <c r="CJ237" s="307"/>
      <c r="CK237" s="307"/>
      <c r="CL237" s="307"/>
      <c r="CM237" s="307"/>
      <c r="CN237" s="307"/>
      <c r="CO237" s="307"/>
      <c r="CP237" s="307"/>
      <c r="CQ237" s="307"/>
      <c r="CR237" s="307"/>
      <c r="CS237" s="307"/>
      <c r="CT237" s="307"/>
      <c r="CU237" s="307"/>
      <c r="CV237" s="307"/>
      <c r="CW237" s="307"/>
      <c r="CX237" s="307"/>
      <c r="CY237" s="307"/>
      <c r="CZ237" s="307"/>
      <c r="DA237" s="307"/>
      <c r="DB237" s="280"/>
      <c r="DC237" s="280"/>
      <c r="DD237" s="280"/>
      <c r="DE237" s="280"/>
      <c r="DF237" s="280"/>
      <c r="DG237" s="280"/>
      <c r="DH237" s="280"/>
      <c r="DI237" s="280"/>
      <c r="DJ237" s="280"/>
      <c r="DK237" s="280"/>
      <c r="DL237" s="280"/>
      <c r="DM237" s="280"/>
      <c r="DN237" s="280"/>
      <c r="DO237" s="280"/>
      <c r="DP237" s="280"/>
      <c r="DQ237" s="280"/>
      <c r="DR237" s="280"/>
      <c r="DS237" s="280"/>
      <c r="DT237" s="280"/>
      <c r="DU237" s="280"/>
      <c r="DV237" s="280"/>
      <c r="DW237" s="280"/>
      <c r="DX237" s="280"/>
      <c r="DY237" s="280"/>
      <c r="DZ237" s="280"/>
      <c r="EA237" s="280"/>
      <c r="EB237" s="280"/>
      <c r="EC237" s="280"/>
      <c r="ED237" s="280"/>
      <c r="EE237" s="280"/>
      <c r="EF237" s="280"/>
      <c r="EG237" s="280"/>
      <c r="EH237" s="280"/>
      <c r="EI237" s="280"/>
      <c r="EJ237" s="280"/>
      <c r="EK237" s="280"/>
      <c r="EL237" s="280"/>
      <c r="EM237" s="280"/>
      <c r="EN237" s="280"/>
      <c r="EO237" s="280"/>
      <c r="EP237" s="521"/>
      <c r="EQ237" s="521"/>
      <c r="ER237" s="521"/>
      <c r="ES237" s="521"/>
      <c r="ET237" s="521"/>
      <c r="EU237" s="521"/>
      <c r="EV237" s="521"/>
      <c r="EW237" s="521"/>
      <c r="EX237" s="521"/>
      <c r="EY237" s="521"/>
      <c r="EZ237" s="521"/>
      <c r="FA237" s="521"/>
      <c r="FB237" s="521"/>
      <c r="FC237" s="521"/>
      <c r="FD237" s="521"/>
      <c r="FE237" s="521"/>
      <c r="FF237" s="521"/>
      <c r="FG237" s="521"/>
      <c r="FH237" s="567"/>
      <c r="FI237" s="567"/>
      <c r="FJ237" s="567"/>
      <c r="FK237" s="567"/>
      <c r="FL237" s="567"/>
      <c r="FM237" s="567"/>
      <c r="FN237" s="567"/>
      <c r="FO237" s="567"/>
    </row>
    <row r="238" spans="1:171" s="568" customFormat="1" ht="13.9" customHeight="1">
      <c r="A238" s="566"/>
      <c r="B238" s="566"/>
      <c r="C238" s="566"/>
      <c r="D238" s="546"/>
      <c r="E238" s="547"/>
      <c r="F238" s="548"/>
      <c r="G238" s="548"/>
      <c r="H238" s="548"/>
      <c r="I238" s="548"/>
      <c r="J238" s="548"/>
      <c r="K238" s="549"/>
      <c r="L238" s="546"/>
      <c r="M238" s="546"/>
      <c r="N238" s="546"/>
      <c r="O238" s="546"/>
      <c r="P238" s="545"/>
      <c r="Q238" s="545"/>
      <c r="R238" s="545"/>
      <c r="S238" s="545"/>
      <c r="T238" s="545"/>
      <c r="U238" s="545"/>
      <c r="V238" s="545"/>
      <c r="W238" s="545"/>
      <c r="X238" s="553"/>
      <c r="Y238" s="553"/>
      <c r="Z238" s="553"/>
      <c r="AA238" s="554"/>
      <c r="AB238" s="550"/>
      <c r="AC238" s="550"/>
      <c r="AD238" s="550"/>
      <c r="AE238" s="307"/>
      <c r="AF238" s="307"/>
      <c r="AG238" s="307"/>
      <c r="AH238" s="307"/>
      <c r="AI238" s="307"/>
      <c r="AJ238" s="307"/>
      <c r="AK238" s="307"/>
      <c r="AL238" s="307"/>
      <c r="AM238" s="307"/>
      <c r="AN238" s="307"/>
      <c r="AO238" s="307"/>
      <c r="AP238" s="307"/>
      <c r="AQ238" s="307"/>
      <c r="AR238" s="307"/>
      <c r="AS238" s="307"/>
      <c r="AT238" s="307"/>
      <c r="AU238" s="307"/>
      <c r="AV238" s="307"/>
      <c r="AW238" s="307"/>
      <c r="AX238" s="307"/>
      <c r="AY238" s="307"/>
      <c r="AZ238" s="307"/>
      <c r="BA238" s="307"/>
      <c r="BB238" s="307"/>
      <c r="BC238" s="307"/>
      <c r="BD238" s="307"/>
      <c r="BE238" s="307"/>
      <c r="BF238" s="307"/>
      <c r="BG238" s="307"/>
      <c r="BH238" s="307"/>
      <c r="BI238" s="307"/>
      <c r="BJ238" s="307"/>
      <c r="BK238" s="307"/>
      <c r="BL238" s="307"/>
      <c r="BM238" s="307"/>
      <c r="BN238" s="307"/>
      <c r="BO238" s="307"/>
      <c r="BP238" s="307"/>
      <c r="BQ238" s="307"/>
      <c r="BR238" s="307"/>
      <c r="BS238" s="307"/>
      <c r="BT238" s="307"/>
      <c r="BU238" s="307"/>
      <c r="BV238" s="307"/>
      <c r="BW238" s="307"/>
      <c r="BX238" s="307"/>
      <c r="BY238" s="307"/>
      <c r="BZ238" s="307"/>
      <c r="CA238" s="307"/>
      <c r="CB238" s="307"/>
      <c r="CC238" s="307"/>
      <c r="CD238" s="307"/>
      <c r="CE238" s="307"/>
      <c r="CF238" s="307"/>
      <c r="CG238" s="307"/>
      <c r="CH238" s="307"/>
      <c r="CI238" s="307"/>
      <c r="CJ238" s="307"/>
      <c r="CK238" s="307"/>
      <c r="CL238" s="307"/>
      <c r="CM238" s="307"/>
      <c r="CN238" s="307"/>
      <c r="CO238" s="307"/>
      <c r="CP238" s="307"/>
      <c r="CQ238" s="307"/>
      <c r="CR238" s="307"/>
      <c r="CS238" s="307"/>
      <c r="CT238" s="307"/>
      <c r="CU238" s="307"/>
      <c r="CV238" s="307"/>
      <c r="CW238" s="307"/>
      <c r="CX238" s="307"/>
      <c r="CY238" s="307"/>
      <c r="CZ238" s="307"/>
      <c r="DA238" s="307"/>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521"/>
      <c r="EQ238" s="521"/>
      <c r="ER238" s="521"/>
      <c r="ES238" s="521"/>
      <c r="ET238" s="521"/>
      <c r="EU238" s="521"/>
      <c r="EV238" s="521"/>
      <c r="EW238" s="521"/>
      <c r="EX238" s="521"/>
      <c r="EY238" s="521"/>
      <c r="EZ238" s="521"/>
      <c r="FA238" s="521"/>
      <c r="FB238" s="521"/>
      <c r="FC238" s="521"/>
      <c r="FD238" s="521"/>
      <c r="FE238" s="521"/>
      <c r="FF238" s="521"/>
      <c r="FG238" s="521"/>
      <c r="FH238" s="567"/>
      <c r="FI238" s="567"/>
      <c r="FJ238" s="567"/>
      <c r="FK238" s="567"/>
      <c r="FL238" s="567"/>
      <c r="FM238" s="567"/>
      <c r="FN238" s="567"/>
      <c r="FO238" s="567"/>
    </row>
    <row r="239" spans="1:171" s="568" customFormat="1" ht="13.9" customHeight="1">
      <c r="A239" s="566"/>
      <c r="B239" s="566"/>
      <c r="C239" s="566"/>
      <c r="D239" s="546"/>
      <c r="E239" s="547"/>
      <c r="F239" s="548"/>
      <c r="G239" s="548"/>
      <c r="H239" s="548"/>
      <c r="I239" s="548"/>
      <c r="J239" s="548"/>
      <c r="K239" s="549"/>
      <c r="L239" s="546"/>
      <c r="M239" s="546"/>
      <c r="N239" s="546"/>
      <c r="O239" s="546"/>
      <c r="P239" s="545"/>
      <c r="Q239" s="545"/>
      <c r="R239" s="545"/>
      <c r="S239" s="545"/>
      <c r="T239" s="545"/>
      <c r="U239" s="545"/>
      <c r="V239" s="545"/>
      <c r="W239" s="545"/>
      <c r="X239" s="553"/>
      <c r="Y239" s="553"/>
      <c r="Z239" s="553"/>
      <c r="AA239" s="554"/>
      <c r="AB239" s="550"/>
      <c r="AC239" s="550"/>
      <c r="AD239" s="550"/>
      <c r="AE239" s="307"/>
      <c r="AF239" s="307"/>
      <c r="AG239" s="307"/>
      <c r="AH239" s="307"/>
      <c r="AI239" s="307"/>
      <c r="AJ239" s="307"/>
      <c r="AK239" s="307"/>
      <c r="AL239" s="307"/>
      <c r="AM239" s="307"/>
      <c r="AN239" s="307"/>
      <c r="AO239" s="307"/>
      <c r="AP239" s="307"/>
      <c r="AQ239" s="307"/>
      <c r="AR239" s="307"/>
      <c r="AS239" s="307"/>
      <c r="AT239" s="307"/>
      <c r="AU239" s="307"/>
      <c r="AV239" s="307"/>
      <c r="AW239" s="307"/>
      <c r="AX239" s="307"/>
      <c r="AY239" s="307"/>
      <c r="AZ239" s="307"/>
      <c r="BA239" s="307"/>
      <c r="BB239" s="307"/>
      <c r="BC239" s="307"/>
      <c r="BD239" s="307"/>
      <c r="BE239" s="307"/>
      <c r="BF239" s="307"/>
      <c r="BG239" s="307"/>
      <c r="BH239" s="307"/>
      <c r="BI239" s="307"/>
      <c r="BJ239" s="307"/>
      <c r="BK239" s="307"/>
      <c r="BL239" s="307"/>
      <c r="BM239" s="307"/>
      <c r="BN239" s="307"/>
      <c r="BO239" s="307"/>
      <c r="BP239" s="307"/>
      <c r="BQ239" s="307"/>
      <c r="BR239" s="307"/>
      <c r="BS239" s="307"/>
      <c r="BT239" s="307"/>
      <c r="BU239" s="307"/>
      <c r="BV239" s="307"/>
      <c r="BW239" s="307"/>
      <c r="BX239" s="307"/>
      <c r="BY239" s="307"/>
      <c r="BZ239" s="307"/>
      <c r="CA239" s="307"/>
      <c r="CB239" s="307"/>
      <c r="CC239" s="307"/>
      <c r="CD239" s="307"/>
      <c r="CE239" s="307"/>
      <c r="CF239" s="307"/>
      <c r="CG239" s="307"/>
      <c r="CH239" s="307"/>
      <c r="CI239" s="307"/>
      <c r="CJ239" s="307"/>
      <c r="CK239" s="307"/>
      <c r="CL239" s="307"/>
      <c r="CM239" s="307"/>
      <c r="CN239" s="307"/>
      <c r="CO239" s="307"/>
      <c r="CP239" s="307"/>
      <c r="CQ239" s="307"/>
      <c r="CR239" s="307"/>
      <c r="CS239" s="307"/>
      <c r="CT239" s="307"/>
      <c r="CU239" s="307"/>
      <c r="CV239" s="307"/>
      <c r="CW239" s="307"/>
      <c r="CX239" s="307"/>
      <c r="CY239" s="307"/>
      <c r="CZ239" s="307"/>
      <c r="DA239" s="307"/>
      <c r="DB239" s="280"/>
      <c r="DC239" s="280"/>
      <c r="DD239" s="280"/>
      <c r="DE239" s="280"/>
      <c r="DF239" s="280"/>
      <c r="DG239" s="280"/>
      <c r="DH239" s="280"/>
      <c r="DI239" s="280"/>
      <c r="DJ239" s="280"/>
      <c r="DK239" s="280"/>
      <c r="DL239" s="280"/>
      <c r="DM239" s="280"/>
      <c r="DN239" s="280"/>
      <c r="DO239" s="280"/>
      <c r="DP239" s="280"/>
      <c r="DQ239" s="280"/>
      <c r="DR239" s="280"/>
      <c r="DS239" s="280"/>
      <c r="DT239" s="280"/>
      <c r="DU239" s="280"/>
      <c r="DV239" s="280"/>
      <c r="DW239" s="280"/>
      <c r="DX239" s="280"/>
      <c r="DY239" s="280"/>
      <c r="DZ239" s="280"/>
      <c r="EA239" s="280"/>
      <c r="EB239" s="280"/>
      <c r="EC239" s="280"/>
      <c r="ED239" s="280"/>
      <c r="EE239" s="280"/>
      <c r="EF239" s="280"/>
      <c r="EG239" s="280"/>
      <c r="EH239" s="280"/>
      <c r="EI239" s="280"/>
      <c r="EJ239" s="280"/>
      <c r="EK239" s="280"/>
      <c r="EL239" s="280"/>
      <c r="EM239" s="280"/>
      <c r="EN239" s="280"/>
      <c r="EO239" s="280"/>
      <c r="EP239" s="521"/>
      <c r="EQ239" s="521"/>
      <c r="ER239" s="521"/>
      <c r="ES239" s="521"/>
      <c r="ET239" s="521"/>
      <c r="EU239" s="521"/>
      <c r="EV239" s="521"/>
      <c r="EW239" s="521"/>
      <c r="EX239" s="521"/>
      <c r="EY239" s="521"/>
      <c r="EZ239" s="521"/>
      <c r="FA239" s="521"/>
      <c r="FB239" s="521"/>
      <c r="FC239" s="521"/>
      <c r="FD239" s="521"/>
      <c r="FE239" s="521"/>
      <c r="FF239" s="521"/>
      <c r="FG239" s="521"/>
      <c r="FH239" s="567"/>
      <c r="FI239" s="567"/>
      <c r="FJ239" s="567"/>
      <c r="FK239" s="567"/>
      <c r="FL239" s="567"/>
      <c r="FM239" s="567"/>
      <c r="FN239" s="567"/>
      <c r="FO239" s="567"/>
    </row>
    <row r="240" spans="1:171" s="568" customFormat="1" ht="13.9" customHeight="1">
      <c r="A240" s="566"/>
      <c r="B240" s="566"/>
      <c r="C240" s="566"/>
      <c r="D240" s="546"/>
      <c r="E240" s="547"/>
      <c r="F240" s="548"/>
      <c r="G240" s="548"/>
      <c r="H240" s="548"/>
      <c r="I240" s="548"/>
      <c r="J240" s="548"/>
      <c r="K240" s="549"/>
      <c r="L240" s="546"/>
      <c r="M240" s="546"/>
      <c r="N240" s="546"/>
      <c r="O240" s="546"/>
      <c r="P240" s="545"/>
      <c r="Q240" s="545"/>
      <c r="R240" s="545"/>
      <c r="S240" s="545"/>
      <c r="T240" s="545"/>
      <c r="U240" s="545"/>
      <c r="V240" s="545"/>
      <c r="W240" s="545"/>
      <c r="X240" s="553"/>
      <c r="Y240" s="553"/>
      <c r="Z240" s="553"/>
      <c r="AA240" s="554"/>
      <c r="AB240" s="550"/>
      <c r="AC240" s="550"/>
      <c r="AD240" s="550"/>
      <c r="AE240" s="307"/>
      <c r="AF240" s="307"/>
      <c r="AG240" s="307"/>
      <c r="AH240" s="307"/>
      <c r="AI240" s="307"/>
      <c r="AJ240" s="307"/>
      <c r="AK240" s="307"/>
      <c r="AL240" s="307"/>
      <c r="AM240" s="307"/>
      <c r="AN240" s="307"/>
      <c r="AO240" s="307"/>
      <c r="AP240" s="307"/>
      <c r="AQ240" s="307"/>
      <c r="AR240" s="307"/>
      <c r="AS240" s="307"/>
      <c r="AT240" s="307"/>
      <c r="AU240" s="307"/>
      <c r="AV240" s="307"/>
      <c r="AW240" s="307"/>
      <c r="AX240" s="307"/>
      <c r="AY240" s="307"/>
      <c r="AZ240" s="307"/>
      <c r="BA240" s="307"/>
      <c r="BB240" s="307"/>
      <c r="BC240" s="307"/>
      <c r="BD240" s="307"/>
      <c r="BE240" s="307"/>
      <c r="BF240" s="307"/>
      <c r="BG240" s="307"/>
      <c r="BH240" s="307"/>
      <c r="BI240" s="307"/>
      <c r="BJ240" s="307"/>
      <c r="BK240" s="307"/>
      <c r="BL240" s="307"/>
      <c r="BM240" s="307"/>
      <c r="BN240" s="307"/>
      <c r="BO240" s="307"/>
      <c r="BP240" s="307"/>
      <c r="BQ240" s="307"/>
      <c r="BR240" s="307"/>
      <c r="BS240" s="307"/>
      <c r="BT240" s="307"/>
      <c r="BU240" s="307"/>
      <c r="BV240" s="307"/>
      <c r="BW240" s="307"/>
      <c r="BX240" s="307"/>
      <c r="BY240" s="307"/>
      <c r="BZ240" s="307"/>
      <c r="CA240" s="307"/>
      <c r="CB240" s="307"/>
      <c r="CC240" s="307"/>
      <c r="CD240" s="307"/>
      <c r="CE240" s="307"/>
      <c r="CF240" s="307"/>
      <c r="CG240" s="307"/>
      <c r="CH240" s="307"/>
      <c r="CI240" s="307"/>
      <c r="CJ240" s="307"/>
      <c r="CK240" s="307"/>
      <c r="CL240" s="307"/>
      <c r="CM240" s="307"/>
      <c r="CN240" s="307"/>
      <c r="CO240" s="307"/>
      <c r="CP240" s="307"/>
      <c r="CQ240" s="307"/>
      <c r="CR240" s="307"/>
      <c r="CS240" s="307"/>
      <c r="CT240" s="307"/>
      <c r="CU240" s="307"/>
      <c r="CV240" s="307"/>
      <c r="CW240" s="307"/>
      <c r="CX240" s="307"/>
      <c r="CY240" s="307"/>
      <c r="CZ240" s="307"/>
      <c r="DA240" s="307"/>
      <c r="DB240" s="280"/>
      <c r="DC240" s="280"/>
      <c r="DD240" s="280"/>
      <c r="DE240" s="280"/>
      <c r="DF240" s="280"/>
      <c r="DG240" s="280"/>
      <c r="DH240" s="280"/>
      <c r="DI240" s="280"/>
      <c r="DJ240" s="280"/>
      <c r="DK240" s="280"/>
      <c r="DL240" s="280"/>
      <c r="DM240" s="280"/>
      <c r="DN240" s="280"/>
      <c r="DO240" s="280"/>
      <c r="DP240" s="280"/>
      <c r="DQ240" s="280"/>
      <c r="DR240" s="280"/>
      <c r="DS240" s="280"/>
      <c r="DT240" s="280"/>
      <c r="DU240" s="280"/>
      <c r="DV240" s="280"/>
      <c r="DW240" s="280"/>
      <c r="DX240" s="280"/>
      <c r="DY240" s="280"/>
      <c r="DZ240" s="280"/>
      <c r="EA240" s="280"/>
      <c r="EB240" s="280"/>
      <c r="EC240" s="280"/>
      <c r="ED240" s="280"/>
      <c r="EE240" s="280"/>
      <c r="EF240" s="280"/>
      <c r="EG240" s="280"/>
      <c r="EH240" s="280"/>
      <c r="EI240" s="280"/>
      <c r="EJ240" s="280"/>
      <c r="EK240" s="280"/>
      <c r="EL240" s="280"/>
      <c r="EM240" s="280"/>
      <c r="EN240" s="280"/>
      <c r="EO240" s="280"/>
      <c r="EP240" s="521"/>
      <c r="EQ240" s="521"/>
      <c r="ER240" s="521"/>
      <c r="ES240" s="521"/>
      <c r="ET240" s="521"/>
      <c r="EU240" s="521"/>
      <c r="EV240" s="521"/>
      <c r="EW240" s="521"/>
      <c r="EX240" s="521"/>
      <c r="EY240" s="521"/>
      <c r="EZ240" s="521"/>
      <c r="FA240" s="521"/>
      <c r="FB240" s="521"/>
      <c r="FC240" s="521"/>
      <c r="FD240" s="521"/>
      <c r="FE240" s="521"/>
      <c r="FF240" s="521"/>
      <c r="FG240" s="521"/>
      <c r="FH240" s="567"/>
      <c r="FI240" s="567"/>
      <c r="FJ240" s="567"/>
      <c r="FK240" s="567"/>
      <c r="FL240" s="567"/>
      <c r="FM240" s="567"/>
      <c r="FN240" s="567"/>
      <c r="FO240" s="567"/>
    </row>
    <row r="241" spans="1:171" s="568" customFormat="1" ht="13.9" customHeight="1">
      <c r="A241" s="566"/>
      <c r="B241" s="566"/>
      <c r="C241" s="566"/>
      <c r="D241" s="546"/>
      <c r="E241" s="547"/>
      <c r="F241" s="548"/>
      <c r="G241" s="548"/>
      <c r="H241" s="548"/>
      <c r="I241" s="548"/>
      <c r="J241" s="548"/>
      <c r="K241" s="549"/>
      <c r="L241" s="546"/>
      <c r="M241" s="546"/>
      <c r="N241" s="546"/>
      <c r="O241" s="546"/>
      <c r="P241" s="545"/>
      <c r="Q241" s="545"/>
      <c r="R241" s="545"/>
      <c r="S241" s="545"/>
      <c r="T241" s="545"/>
      <c r="U241" s="545"/>
      <c r="V241" s="545"/>
      <c r="W241" s="545"/>
      <c r="X241" s="553"/>
      <c r="Y241" s="553"/>
      <c r="Z241" s="553"/>
      <c r="AA241" s="554"/>
      <c r="AB241" s="550"/>
      <c r="AC241" s="550"/>
      <c r="AD241" s="550"/>
      <c r="AE241" s="307"/>
      <c r="AF241" s="307"/>
      <c r="AG241" s="307"/>
      <c r="AH241" s="307"/>
      <c r="AI241" s="307"/>
      <c r="AJ241" s="307"/>
      <c r="AK241" s="307"/>
      <c r="AL241" s="307"/>
      <c r="AM241" s="307"/>
      <c r="AN241" s="307"/>
      <c r="AO241" s="307"/>
      <c r="AP241" s="307"/>
      <c r="AQ241" s="307"/>
      <c r="AR241" s="307"/>
      <c r="AS241" s="307"/>
      <c r="AT241" s="307"/>
      <c r="AU241" s="307"/>
      <c r="AV241" s="307"/>
      <c r="AW241" s="307"/>
      <c r="AX241" s="307"/>
      <c r="AY241" s="307"/>
      <c r="AZ241" s="307"/>
      <c r="BA241" s="307"/>
      <c r="BB241" s="307"/>
      <c r="BC241" s="307"/>
      <c r="BD241" s="307"/>
      <c r="BE241" s="307"/>
      <c r="BF241" s="307"/>
      <c r="BG241" s="307"/>
      <c r="BH241" s="307"/>
      <c r="BI241" s="307"/>
      <c r="BJ241" s="307"/>
      <c r="BK241" s="307"/>
      <c r="BL241" s="307"/>
      <c r="BM241" s="307"/>
      <c r="BN241" s="307"/>
      <c r="BO241" s="307"/>
      <c r="BP241" s="307"/>
      <c r="BQ241" s="307"/>
      <c r="BR241" s="307"/>
      <c r="BS241" s="307"/>
      <c r="BT241" s="307"/>
      <c r="BU241" s="307"/>
      <c r="BV241" s="307"/>
      <c r="BW241" s="307"/>
      <c r="BX241" s="307"/>
      <c r="BY241" s="307"/>
      <c r="BZ241" s="307"/>
      <c r="CA241" s="307"/>
      <c r="CB241" s="307"/>
      <c r="CC241" s="307"/>
      <c r="CD241" s="307"/>
      <c r="CE241" s="307"/>
      <c r="CF241" s="307"/>
      <c r="CG241" s="307"/>
      <c r="CH241" s="307"/>
      <c r="CI241" s="307"/>
      <c r="CJ241" s="307"/>
      <c r="CK241" s="307"/>
      <c r="CL241" s="307"/>
      <c r="CM241" s="307"/>
      <c r="CN241" s="307"/>
      <c r="CO241" s="307"/>
      <c r="CP241" s="307"/>
      <c r="CQ241" s="307"/>
      <c r="CR241" s="307"/>
      <c r="CS241" s="307"/>
      <c r="CT241" s="307"/>
      <c r="CU241" s="307"/>
      <c r="CV241" s="307"/>
      <c r="CW241" s="307"/>
      <c r="CX241" s="307"/>
      <c r="CY241" s="307"/>
      <c r="CZ241" s="307"/>
      <c r="DA241" s="307"/>
      <c r="DB241" s="280"/>
      <c r="DC241" s="280"/>
      <c r="DD241" s="280"/>
      <c r="DE241" s="280"/>
      <c r="DF241" s="280"/>
      <c r="DG241" s="280"/>
      <c r="DH241" s="280"/>
      <c r="DI241" s="280"/>
      <c r="DJ241" s="280"/>
      <c r="DK241" s="280"/>
      <c r="DL241" s="280"/>
      <c r="DM241" s="280"/>
      <c r="DN241" s="280"/>
      <c r="DO241" s="280"/>
      <c r="DP241" s="280"/>
      <c r="DQ241" s="280"/>
      <c r="DR241" s="280"/>
      <c r="DS241" s="280"/>
      <c r="DT241" s="280"/>
      <c r="DU241" s="280"/>
      <c r="DV241" s="280"/>
      <c r="DW241" s="280"/>
      <c r="DX241" s="280"/>
      <c r="DY241" s="280"/>
      <c r="DZ241" s="280"/>
      <c r="EA241" s="280"/>
      <c r="EB241" s="280"/>
      <c r="EC241" s="280"/>
      <c r="ED241" s="280"/>
      <c r="EE241" s="280"/>
      <c r="EF241" s="280"/>
      <c r="EG241" s="280"/>
      <c r="EH241" s="280"/>
      <c r="EI241" s="280"/>
      <c r="EJ241" s="280"/>
      <c r="EK241" s="280"/>
      <c r="EL241" s="280"/>
      <c r="EM241" s="280"/>
      <c r="EN241" s="280"/>
      <c r="EO241" s="280"/>
      <c r="EP241" s="521"/>
      <c r="EQ241" s="521"/>
      <c r="ER241" s="521"/>
      <c r="ES241" s="521"/>
      <c r="ET241" s="521"/>
      <c r="EU241" s="521"/>
      <c r="EV241" s="521"/>
      <c r="EW241" s="521"/>
      <c r="EX241" s="521"/>
      <c r="EY241" s="521"/>
      <c r="EZ241" s="521"/>
      <c r="FA241" s="521"/>
      <c r="FB241" s="521"/>
      <c r="FC241" s="521"/>
      <c r="FD241" s="521"/>
      <c r="FE241" s="521"/>
      <c r="FF241" s="521"/>
      <c r="FG241" s="521"/>
      <c r="FH241" s="567"/>
      <c r="FI241" s="567"/>
      <c r="FJ241" s="567"/>
      <c r="FK241" s="567"/>
      <c r="FL241" s="567"/>
      <c r="FM241" s="567"/>
      <c r="FN241" s="567"/>
      <c r="FO241" s="567"/>
    </row>
    <row r="242" spans="1:171" s="568" customFormat="1" ht="13.9" customHeight="1">
      <c r="A242" s="566"/>
      <c r="B242" s="566"/>
      <c r="C242" s="566"/>
      <c r="D242" s="546"/>
      <c r="E242" s="547"/>
      <c r="F242" s="548"/>
      <c r="G242" s="548"/>
      <c r="H242" s="548"/>
      <c r="I242" s="548"/>
      <c r="J242" s="548"/>
      <c r="K242" s="549"/>
      <c r="L242" s="546"/>
      <c r="M242" s="546"/>
      <c r="N242" s="546"/>
      <c r="O242" s="546"/>
      <c r="P242" s="545"/>
      <c r="Q242" s="545"/>
      <c r="R242" s="545"/>
      <c r="S242" s="545"/>
      <c r="T242" s="545"/>
      <c r="U242" s="545"/>
      <c r="V242" s="545"/>
      <c r="W242" s="545"/>
      <c r="X242" s="553"/>
      <c r="Y242" s="553"/>
      <c r="Z242" s="553"/>
      <c r="AA242" s="554"/>
      <c r="AB242" s="550"/>
      <c r="AC242" s="550"/>
      <c r="AD242" s="550"/>
      <c r="AE242" s="307"/>
      <c r="AF242" s="307"/>
      <c r="AG242" s="307"/>
      <c r="AH242" s="307"/>
      <c r="AI242" s="307"/>
      <c r="AJ242" s="307"/>
      <c r="AK242" s="307"/>
      <c r="AL242" s="307"/>
      <c r="AM242" s="307"/>
      <c r="AN242" s="307"/>
      <c r="AO242" s="307"/>
      <c r="AP242" s="307"/>
      <c r="AQ242" s="307"/>
      <c r="AR242" s="307"/>
      <c r="AS242" s="307"/>
      <c r="AT242" s="307"/>
      <c r="AU242" s="307"/>
      <c r="AV242" s="307"/>
      <c r="AW242" s="307"/>
      <c r="AX242" s="307"/>
      <c r="AY242" s="307"/>
      <c r="AZ242" s="307"/>
      <c r="BA242" s="307"/>
      <c r="BB242" s="307"/>
      <c r="BC242" s="307"/>
      <c r="BD242" s="307"/>
      <c r="BE242" s="307"/>
      <c r="BF242" s="307"/>
      <c r="BG242" s="307"/>
      <c r="BH242" s="307"/>
      <c r="BI242" s="307"/>
      <c r="BJ242" s="307"/>
      <c r="BK242" s="307"/>
      <c r="BL242" s="307"/>
      <c r="BM242" s="307"/>
      <c r="BN242" s="307"/>
      <c r="BO242" s="307"/>
      <c r="BP242" s="307"/>
      <c r="BQ242" s="307"/>
      <c r="BR242" s="307"/>
      <c r="BS242" s="307"/>
      <c r="BT242" s="307"/>
      <c r="BU242" s="307"/>
      <c r="BV242" s="307"/>
      <c r="BW242" s="307"/>
      <c r="BX242" s="307"/>
      <c r="BY242" s="307"/>
      <c r="BZ242" s="307"/>
      <c r="CA242" s="307"/>
      <c r="CB242" s="307"/>
      <c r="CC242" s="307"/>
      <c r="CD242" s="307"/>
      <c r="CE242" s="307"/>
      <c r="CF242" s="307"/>
      <c r="CG242" s="307"/>
      <c r="CH242" s="307"/>
      <c r="CI242" s="307"/>
      <c r="CJ242" s="307"/>
      <c r="CK242" s="307"/>
      <c r="CL242" s="307"/>
      <c r="CM242" s="307"/>
      <c r="CN242" s="307"/>
      <c r="CO242" s="307"/>
      <c r="CP242" s="307"/>
      <c r="CQ242" s="307"/>
      <c r="CR242" s="307"/>
      <c r="CS242" s="307"/>
      <c r="CT242" s="307"/>
      <c r="CU242" s="307"/>
      <c r="CV242" s="307"/>
      <c r="CW242" s="307"/>
      <c r="CX242" s="307"/>
      <c r="CY242" s="307"/>
      <c r="CZ242" s="307"/>
      <c r="DA242" s="307"/>
      <c r="DB242" s="280"/>
      <c r="DC242" s="280"/>
      <c r="DD242" s="280"/>
      <c r="DE242" s="280"/>
      <c r="DF242" s="280"/>
      <c r="DG242" s="280"/>
      <c r="DH242" s="280"/>
      <c r="DI242" s="280"/>
      <c r="DJ242" s="280"/>
      <c r="DK242" s="280"/>
      <c r="DL242" s="280"/>
      <c r="DM242" s="280"/>
      <c r="DN242" s="280"/>
      <c r="DO242" s="280"/>
      <c r="DP242" s="280"/>
      <c r="DQ242" s="280"/>
      <c r="DR242" s="280"/>
      <c r="DS242" s="280"/>
      <c r="DT242" s="280"/>
      <c r="DU242" s="280"/>
      <c r="DV242" s="280"/>
      <c r="DW242" s="280"/>
      <c r="DX242" s="280"/>
      <c r="DY242" s="280"/>
      <c r="DZ242" s="280"/>
      <c r="EA242" s="280"/>
      <c r="EB242" s="280"/>
      <c r="EC242" s="280"/>
      <c r="ED242" s="280"/>
      <c r="EE242" s="280"/>
      <c r="EF242" s="280"/>
      <c r="EG242" s="280"/>
      <c r="EH242" s="280"/>
      <c r="EI242" s="280"/>
      <c r="EJ242" s="280"/>
      <c r="EK242" s="280"/>
      <c r="EL242" s="280"/>
      <c r="EM242" s="280"/>
      <c r="EN242" s="280"/>
      <c r="EO242" s="280"/>
      <c r="EP242" s="521"/>
      <c r="EQ242" s="521"/>
      <c r="ER242" s="521"/>
      <c r="ES242" s="521"/>
      <c r="ET242" s="521"/>
      <c r="EU242" s="521"/>
      <c r="EV242" s="521"/>
      <c r="EW242" s="521"/>
      <c r="EX242" s="521"/>
      <c r="EY242" s="521"/>
      <c r="EZ242" s="521"/>
      <c r="FA242" s="521"/>
      <c r="FB242" s="521"/>
      <c r="FC242" s="521"/>
      <c r="FD242" s="521"/>
      <c r="FE242" s="521"/>
      <c r="FF242" s="521"/>
      <c r="FG242" s="521"/>
      <c r="FH242" s="567"/>
      <c r="FI242" s="567"/>
      <c r="FJ242" s="567"/>
      <c r="FK242" s="567"/>
      <c r="FL242" s="567"/>
      <c r="FM242" s="567"/>
      <c r="FN242" s="567"/>
      <c r="FO242" s="567"/>
    </row>
    <row r="243" spans="1:171" s="568" customFormat="1" ht="13.9" customHeight="1">
      <c r="A243" s="566"/>
      <c r="B243" s="566"/>
      <c r="C243" s="566"/>
      <c r="D243" s="546"/>
      <c r="E243" s="547"/>
      <c r="F243" s="548"/>
      <c r="G243" s="548"/>
      <c r="H243" s="548"/>
      <c r="I243" s="548"/>
      <c r="J243" s="548"/>
      <c r="K243" s="549"/>
      <c r="L243" s="546"/>
      <c r="M243" s="546"/>
      <c r="N243" s="546"/>
      <c r="O243" s="546"/>
      <c r="P243" s="545"/>
      <c r="Q243" s="545"/>
      <c r="R243" s="545"/>
      <c r="S243" s="545"/>
      <c r="T243" s="545"/>
      <c r="U243" s="545"/>
      <c r="V243" s="545"/>
      <c r="W243" s="545"/>
      <c r="X243" s="553"/>
      <c r="Y243" s="553"/>
      <c r="Z243" s="553"/>
      <c r="AA243" s="554"/>
      <c r="AB243" s="550"/>
      <c r="AC243" s="550"/>
      <c r="AD243" s="550"/>
      <c r="AE243" s="307"/>
      <c r="AF243" s="307"/>
      <c r="AG243" s="307"/>
      <c r="AH243" s="307"/>
      <c r="AI243" s="307"/>
      <c r="AJ243" s="307"/>
      <c r="AK243" s="307"/>
      <c r="AL243" s="307"/>
      <c r="AM243" s="307"/>
      <c r="AN243" s="307"/>
      <c r="AO243" s="307"/>
      <c r="AP243" s="307"/>
      <c r="AQ243" s="307"/>
      <c r="AR243" s="307"/>
      <c r="AS243" s="307"/>
      <c r="AT243" s="307"/>
      <c r="AU243" s="307"/>
      <c r="AV243" s="307"/>
      <c r="AW243" s="307"/>
      <c r="AX243" s="307"/>
      <c r="AY243" s="307"/>
      <c r="AZ243" s="307"/>
      <c r="BA243" s="307"/>
      <c r="BB243" s="307"/>
      <c r="BC243" s="307"/>
      <c r="BD243" s="307"/>
      <c r="BE243" s="307"/>
      <c r="BF243" s="307"/>
      <c r="BG243" s="307"/>
      <c r="BH243" s="307"/>
      <c r="BI243" s="307"/>
      <c r="BJ243" s="307"/>
      <c r="BK243" s="307"/>
      <c r="BL243" s="307"/>
      <c r="BM243" s="307"/>
      <c r="BN243" s="307"/>
      <c r="BO243" s="307"/>
      <c r="BP243" s="307"/>
      <c r="BQ243" s="307"/>
      <c r="BR243" s="307"/>
      <c r="BS243" s="307"/>
      <c r="BT243" s="307"/>
      <c r="BU243" s="307"/>
      <c r="BV243" s="307"/>
      <c r="BW243" s="307"/>
      <c r="BX243" s="307"/>
      <c r="BY243" s="307"/>
      <c r="BZ243" s="307"/>
      <c r="CA243" s="307"/>
      <c r="CB243" s="307"/>
      <c r="CC243" s="307"/>
      <c r="CD243" s="307"/>
      <c r="CE243" s="307"/>
      <c r="CF243" s="307"/>
      <c r="CG243" s="307"/>
      <c r="CH243" s="307"/>
      <c r="CI243" s="307"/>
      <c r="CJ243" s="307"/>
      <c r="CK243" s="307"/>
      <c r="CL243" s="307"/>
      <c r="CM243" s="307"/>
      <c r="CN243" s="307"/>
      <c r="CO243" s="307"/>
      <c r="CP243" s="307"/>
      <c r="CQ243" s="307"/>
      <c r="CR243" s="307"/>
      <c r="CS243" s="307"/>
      <c r="CT243" s="307"/>
      <c r="CU243" s="307"/>
      <c r="CV243" s="307"/>
      <c r="CW243" s="307"/>
      <c r="CX243" s="307"/>
      <c r="CY243" s="307"/>
      <c r="CZ243" s="307"/>
      <c r="DA243" s="307"/>
      <c r="DB243" s="280"/>
      <c r="DC243" s="280"/>
      <c r="DD243" s="280"/>
      <c r="DE243" s="280"/>
      <c r="DF243" s="280"/>
      <c r="DG243" s="280"/>
      <c r="DH243" s="280"/>
      <c r="DI243" s="280"/>
      <c r="DJ243" s="280"/>
      <c r="DK243" s="280"/>
      <c r="DL243" s="280"/>
      <c r="DM243" s="280"/>
      <c r="DN243" s="280"/>
      <c r="DO243" s="280"/>
      <c r="DP243" s="280"/>
      <c r="DQ243" s="280"/>
      <c r="DR243" s="280"/>
      <c r="DS243" s="280"/>
      <c r="DT243" s="280"/>
      <c r="DU243" s="280"/>
      <c r="DV243" s="280"/>
      <c r="DW243" s="280"/>
      <c r="DX243" s="280"/>
      <c r="DY243" s="280"/>
      <c r="DZ243" s="280"/>
      <c r="EA243" s="280"/>
      <c r="EB243" s="280"/>
      <c r="EC243" s="280"/>
      <c r="ED243" s="280"/>
      <c r="EE243" s="280"/>
      <c r="EF243" s="280"/>
      <c r="EG243" s="280"/>
      <c r="EH243" s="280"/>
      <c r="EI243" s="280"/>
      <c r="EJ243" s="280"/>
      <c r="EK243" s="280"/>
      <c r="EL243" s="280"/>
      <c r="EM243" s="280"/>
      <c r="EN243" s="280"/>
      <c r="EO243" s="280"/>
      <c r="EP243" s="521"/>
      <c r="EQ243" s="521"/>
      <c r="ER243" s="521"/>
      <c r="ES243" s="521"/>
      <c r="ET243" s="521"/>
      <c r="EU243" s="521"/>
      <c r="EV243" s="521"/>
      <c r="EW243" s="521"/>
      <c r="EX243" s="521"/>
      <c r="EY243" s="521"/>
      <c r="EZ243" s="521"/>
      <c r="FA243" s="521"/>
      <c r="FB243" s="521"/>
      <c r="FC243" s="521"/>
      <c r="FD243" s="521"/>
      <c r="FE243" s="521"/>
      <c r="FF243" s="521"/>
      <c r="FG243" s="521"/>
      <c r="FH243" s="567"/>
      <c r="FI243" s="567"/>
      <c r="FJ243" s="567"/>
      <c r="FK243" s="567"/>
      <c r="FL243" s="567"/>
      <c r="FM243" s="567"/>
      <c r="FN243" s="567"/>
      <c r="FO243" s="567"/>
    </row>
    <row r="244" spans="1:171" s="568" customFormat="1" ht="13.9" customHeight="1">
      <c r="A244" s="566"/>
      <c r="B244" s="566"/>
      <c r="C244" s="566"/>
      <c r="D244" s="546"/>
      <c r="E244" s="547"/>
      <c r="F244" s="548"/>
      <c r="G244" s="548"/>
      <c r="H244" s="548"/>
      <c r="I244" s="548"/>
      <c r="J244" s="548"/>
      <c r="K244" s="549"/>
      <c r="L244" s="546"/>
      <c r="M244" s="546"/>
      <c r="N244" s="546"/>
      <c r="O244" s="546"/>
      <c r="P244" s="545"/>
      <c r="Q244" s="545"/>
      <c r="R244" s="545"/>
      <c r="S244" s="545"/>
      <c r="T244" s="545"/>
      <c r="U244" s="545"/>
      <c r="V244" s="545"/>
      <c r="W244" s="545"/>
      <c r="X244" s="553"/>
      <c r="Y244" s="553"/>
      <c r="Z244" s="553"/>
      <c r="AA244" s="554"/>
      <c r="AB244" s="550"/>
      <c r="AC244" s="550"/>
      <c r="AD244" s="550"/>
      <c r="AE244" s="307"/>
      <c r="AF244" s="307"/>
      <c r="AG244" s="307"/>
      <c r="AH244" s="307"/>
      <c r="AI244" s="307"/>
      <c r="AJ244" s="307"/>
      <c r="AK244" s="307"/>
      <c r="AL244" s="307"/>
      <c r="AM244" s="307"/>
      <c r="AN244" s="307"/>
      <c r="AO244" s="307"/>
      <c r="AP244" s="307"/>
      <c r="AQ244" s="307"/>
      <c r="AR244" s="307"/>
      <c r="AS244" s="307"/>
      <c r="AT244" s="307"/>
      <c r="AU244" s="307"/>
      <c r="AV244" s="307"/>
      <c r="AW244" s="307"/>
      <c r="AX244" s="307"/>
      <c r="AY244" s="307"/>
      <c r="AZ244" s="307"/>
      <c r="BA244" s="307"/>
      <c r="BB244" s="307"/>
      <c r="BC244" s="307"/>
      <c r="BD244" s="307"/>
      <c r="BE244" s="307"/>
      <c r="BF244" s="307"/>
      <c r="BG244" s="307"/>
      <c r="BH244" s="307"/>
      <c r="BI244" s="307"/>
      <c r="BJ244" s="307"/>
      <c r="BK244" s="307"/>
      <c r="BL244" s="307"/>
      <c r="BM244" s="307"/>
      <c r="BN244" s="307"/>
      <c r="BO244" s="307"/>
      <c r="BP244" s="307"/>
      <c r="BQ244" s="307"/>
      <c r="BR244" s="307"/>
      <c r="BS244" s="307"/>
      <c r="BT244" s="307"/>
      <c r="BU244" s="307"/>
      <c r="BV244" s="307"/>
      <c r="BW244" s="307"/>
      <c r="BX244" s="307"/>
      <c r="BY244" s="307"/>
      <c r="BZ244" s="307"/>
      <c r="CA244" s="307"/>
      <c r="CB244" s="307"/>
      <c r="CC244" s="307"/>
      <c r="CD244" s="307"/>
      <c r="CE244" s="307"/>
      <c r="CF244" s="307"/>
      <c r="CG244" s="307"/>
      <c r="CH244" s="307"/>
      <c r="CI244" s="307"/>
      <c r="CJ244" s="307"/>
      <c r="CK244" s="307"/>
      <c r="CL244" s="307"/>
      <c r="CM244" s="307"/>
      <c r="CN244" s="307"/>
      <c r="CO244" s="307"/>
      <c r="CP244" s="307"/>
      <c r="CQ244" s="307"/>
      <c r="CR244" s="307"/>
      <c r="CS244" s="307"/>
      <c r="CT244" s="307"/>
      <c r="CU244" s="307"/>
      <c r="CV244" s="307"/>
      <c r="CW244" s="307"/>
      <c r="CX244" s="307"/>
      <c r="CY244" s="307"/>
      <c r="CZ244" s="307"/>
      <c r="DA244" s="307"/>
      <c r="DB244" s="280"/>
      <c r="DC244" s="280"/>
      <c r="DD244" s="280"/>
      <c r="DE244" s="280"/>
      <c r="DF244" s="280"/>
      <c r="DG244" s="280"/>
      <c r="DH244" s="280"/>
      <c r="DI244" s="280"/>
      <c r="DJ244" s="280"/>
      <c r="DK244" s="280"/>
      <c r="DL244" s="280"/>
      <c r="DM244" s="280"/>
      <c r="DN244" s="280"/>
      <c r="DO244" s="280"/>
      <c r="DP244" s="280"/>
      <c r="DQ244" s="280"/>
      <c r="DR244" s="280"/>
      <c r="DS244" s="280"/>
      <c r="DT244" s="280"/>
      <c r="DU244" s="280"/>
      <c r="DV244" s="280"/>
      <c r="DW244" s="280"/>
      <c r="DX244" s="280"/>
      <c r="DY244" s="280"/>
      <c r="DZ244" s="280"/>
      <c r="EA244" s="280"/>
      <c r="EB244" s="280"/>
      <c r="EC244" s="280"/>
      <c r="ED244" s="280"/>
      <c r="EE244" s="280"/>
      <c r="EF244" s="280"/>
      <c r="EG244" s="280"/>
      <c r="EH244" s="280"/>
      <c r="EI244" s="280"/>
      <c r="EJ244" s="280"/>
      <c r="EK244" s="280"/>
      <c r="EL244" s="280"/>
      <c r="EM244" s="280"/>
      <c r="EN244" s="280"/>
      <c r="EO244" s="280"/>
      <c r="EP244" s="521"/>
      <c r="EQ244" s="521"/>
      <c r="ER244" s="521"/>
      <c r="ES244" s="521"/>
      <c r="ET244" s="521"/>
      <c r="EU244" s="521"/>
      <c r="EV244" s="521"/>
      <c r="EW244" s="521"/>
      <c r="EX244" s="521"/>
      <c r="EY244" s="521"/>
      <c r="EZ244" s="521"/>
      <c r="FA244" s="521"/>
      <c r="FB244" s="521"/>
      <c r="FC244" s="521"/>
      <c r="FD244" s="521"/>
      <c r="FE244" s="521"/>
      <c r="FF244" s="521"/>
      <c r="FG244" s="521"/>
      <c r="FH244" s="567"/>
      <c r="FI244" s="567"/>
      <c r="FJ244" s="567"/>
      <c r="FK244" s="567"/>
      <c r="FL244" s="567"/>
      <c r="FM244" s="567"/>
      <c r="FN244" s="567"/>
      <c r="FO244" s="567"/>
    </row>
    <row r="245" spans="1:171" s="568" customFormat="1" ht="13.9" customHeight="1">
      <c r="A245" s="566"/>
      <c r="B245" s="566"/>
      <c r="C245" s="566"/>
      <c r="D245" s="546"/>
      <c r="E245" s="547"/>
      <c r="F245" s="548"/>
      <c r="G245" s="548"/>
      <c r="H245" s="548"/>
      <c r="I245" s="548"/>
      <c r="J245" s="548"/>
      <c r="K245" s="549"/>
      <c r="L245" s="546"/>
      <c r="M245" s="546"/>
      <c r="N245" s="546"/>
      <c r="O245" s="546"/>
      <c r="P245" s="545"/>
      <c r="Q245" s="545"/>
      <c r="R245" s="545"/>
      <c r="S245" s="545"/>
      <c r="T245" s="545"/>
      <c r="U245" s="545"/>
      <c r="V245" s="545"/>
      <c r="W245" s="545"/>
      <c r="X245" s="553"/>
      <c r="Y245" s="553"/>
      <c r="Z245" s="553"/>
      <c r="AA245" s="554"/>
      <c r="AB245" s="550"/>
      <c r="AC245" s="550"/>
      <c r="AD245" s="550"/>
      <c r="AE245" s="307"/>
      <c r="AF245" s="307"/>
      <c r="AG245" s="307"/>
      <c r="AH245" s="307"/>
      <c r="AI245" s="307"/>
      <c r="AJ245" s="307"/>
      <c r="AK245" s="307"/>
      <c r="AL245" s="307"/>
      <c r="AM245" s="307"/>
      <c r="AN245" s="307"/>
      <c r="AO245" s="307"/>
      <c r="AP245" s="307"/>
      <c r="AQ245" s="307"/>
      <c r="AR245" s="307"/>
      <c r="AS245" s="307"/>
      <c r="AT245" s="307"/>
      <c r="AU245" s="307"/>
      <c r="AV245" s="307"/>
      <c r="AW245" s="307"/>
      <c r="AX245" s="307"/>
      <c r="AY245" s="307"/>
      <c r="AZ245" s="307"/>
      <c r="BA245" s="307"/>
      <c r="BB245" s="307"/>
      <c r="BC245" s="307"/>
      <c r="BD245" s="307"/>
      <c r="BE245" s="307"/>
      <c r="BF245" s="307"/>
      <c r="BG245" s="307"/>
      <c r="BH245" s="307"/>
      <c r="BI245" s="307"/>
      <c r="BJ245" s="307"/>
      <c r="BK245" s="307"/>
      <c r="BL245" s="307"/>
      <c r="BM245" s="307"/>
      <c r="BN245" s="307"/>
      <c r="BO245" s="307"/>
      <c r="BP245" s="307"/>
      <c r="BQ245" s="307"/>
      <c r="BR245" s="307"/>
      <c r="BS245" s="307"/>
      <c r="BT245" s="307"/>
      <c r="BU245" s="307"/>
      <c r="BV245" s="307"/>
      <c r="BW245" s="307"/>
      <c r="BX245" s="307"/>
      <c r="BY245" s="307"/>
      <c r="BZ245" s="307"/>
      <c r="CA245" s="307"/>
      <c r="CB245" s="307"/>
      <c r="CC245" s="307"/>
      <c r="CD245" s="307"/>
      <c r="CE245" s="307"/>
      <c r="CF245" s="307"/>
      <c r="CG245" s="307"/>
      <c r="CH245" s="307"/>
      <c r="CI245" s="307"/>
      <c r="CJ245" s="307"/>
      <c r="CK245" s="307"/>
      <c r="CL245" s="307"/>
      <c r="CM245" s="307"/>
      <c r="CN245" s="307"/>
      <c r="CO245" s="307"/>
      <c r="CP245" s="307"/>
      <c r="CQ245" s="307"/>
      <c r="CR245" s="307"/>
      <c r="CS245" s="307"/>
      <c r="CT245" s="307"/>
      <c r="CU245" s="307"/>
      <c r="CV245" s="307"/>
      <c r="CW245" s="307"/>
      <c r="CX245" s="307"/>
      <c r="CY245" s="307"/>
      <c r="CZ245" s="307"/>
      <c r="DA245" s="307"/>
      <c r="DB245" s="280"/>
      <c r="DC245" s="280"/>
      <c r="DD245" s="280"/>
      <c r="DE245" s="280"/>
      <c r="DF245" s="280"/>
      <c r="DG245" s="280"/>
      <c r="DH245" s="280"/>
      <c r="DI245" s="280"/>
      <c r="DJ245" s="280"/>
      <c r="DK245" s="280"/>
      <c r="DL245" s="280"/>
      <c r="DM245" s="280"/>
      <c r="DN245" s="280"/>
      <c r="DO245" s="280"/>
      <c r="DP245" s="280"/>
      <c r="DQ245" s="280"/>
      <c r="DR245" s="280"/>
      <c r="DS245" s="280"/>
      <c r="DT245" s="280"/>
      <c r="DU245" s="280"/>
      <c r="DV245" s="280"/>
      <c r="DW245" s="280"/>
      <c r="DX245" s="280"/>
      <c r="DY245" s="280"/>
      <c r="DZ245" s="280"/>
      <c r="EA245" s="280"/>
      <c r="EB245" s="280"/>
      <c r="EC245" s="280"/>
      <c r="ED245" s="280"/>
      <c r="EE245" s="280"/>
      <c r="EF245" s="280"/>
      <c r="EG245" s="280"/>
      <c r="EH245" s="280"/>
      <c r="EI245" s="280"/>
      <c r="EJ245" s="280"/>
      <c r="EK245" s="280"/>
      <c r="EL245" s="280"/>
      <c r="EM245" s="280"/>
      <c r="EN245" s="280"/>
      <c r="EO245" s="280"/>
      <c r="EP245" s="521"/>
      <c r="EQ245" s="521"/>
      <c r="ER245" s="521"/>
      <c r="ES245" s="521"/>
      <c r="ET245" s="521"/>
      <c r="EU245" s="521"/>
      <c r="EV245" s="521"/>
      <c r="EW245" s="521"/>
      <c r="EX245" s="521"/>
      <c r="EY245" s="521"/>
      <c r="EZ245" s="521"/>
      <c r="FA245" s="521"/>
      <c r="FB245" s="521"/>
      <c r="FC245" s="521"/>
      <c r="FD245" s="521"/>
      <c r="FE245" s="521"/>
      <c r="FF245" s="521"/>
      <c r="FG245" s="521"/>
      <c r="FH245" s="567"/>
      <c r="FI245" s="567"/>
      <c r="FJ245" s="567"/>
      <c r="FK245" s="567"/>
      <c r="FL245" s="567"/>
      <c r="FM245" s="567"/>
      <c r="FN245" s="567"/>
      <c r="FO245" s="567"/>
    </row>
    <row r="246" spans="1:171" s="568" customFormat="1" ht="13.9" customHeight="1">
      <c r="A246" s="566"/>
      <c r="B246" s="566"/>
      <c r="C246" s="566"/>
      <c r="D246" s="546"/>
      <c r="E246" s="547"/>
      <c r="F246" s="548"/>
      <c r="G246" s="548"/>
      <c r="H246" s="548"/>
      <c r="I246" s="548"/>
      <c r="J246" s="548"/>
      <c r="K246" s="549"/>
      <c r="L246" s="546"/>
      <c r="M246" s="546"/>
      <c r="N246" s="546"/>
      <c r="O246" s="546"/>
      <c r="P246" s="545"/>
      <c r="Q246" s="545"/>
      <c r="R246" s="545"/>
      <c r="S246" s="545"/>
      <c r="T246" s="545"/>
      <c r="U246" s="545"/>
      <c r="V246" s="545"/>
      <c r="W246" s="545"/>
      <c r="X246" s="553"/>
      <c r="Y246" s="553"/>
      <c r="Z246" s="553"/>
      <c r="AA246" s="554"/>
      <c r="AB246" s="550"/>
      <c r="AC246" s="550"/>
      <c r="AD246" s="550"/>
      <c r="AE246" s="307"/>
      <c r="AF246" s="307"/>
      <c r="AG246" s="307"/>
      <c r="AH246" s="307"/>
      <c r="AI246" s="307"/>
      <c r="AJ246" s="307"/>
      <c r="AK246" s="307"/>
      <c r="AL246" s="307"/>
      <c r="AM246" s="307"/>
      <c r="AN246" s="307"/>
      <c r="AO246" s="307"/>
      <c r="AP246" s="307"/>
      <c r="AQ246" s="307"/>
      <c r="AR246" s="307"/>
      <c r="AS246" s="307"/>
      <c r="AT246" s="307"/>
      <c r="AU246" s="307"/>
      <c r="AV246" s="307"/>
      <c r="AW246" s="307"/>
      <c r="AX246" s="307"/>
      <c r="AY246" s="307"/>
      <c r="AZ246" s="307"/>
      <c r="BA246" s="307"/>
      <c r="BB246" s="307"/>
      <c r="BC246" s="307"/>
      <c r="BD246" s="307"/>
      <c r="BE246" s="307"/>
      <c r="BF246" s="307"/>
      <c r="BG246" s="307"/>
      <c r="BH246" s="307"/>
      <c r="BI246" s="307"/>
      <c r="BJ246" s="307"/>
      <c r="BK246" s="307"/>
      <c r="BL246" s="307"/>
      <c r="BM246" s="307"/>
      <c r="BN246" s="307"/>
      <c r="BO246" s="307"/>
      <c r="BP246" s="307"/>
      <c r="BQ246" s="307"/>
      <c r="BR246" s="307"/>
      <c r="BS246" s="307"/>
      <c r="BT246" s="307"/>
      <c r="BU246" s="307"/>
      <c r="BV246" s="307"/>
      <c r="BW246" s="307"/>
      <c r="BX246" s="307"/>
      <c r="BY246" s="307"/>
      <c r="BZ246" s="307"/>
      <c r="CA246" s="307"/>
      <c r="CB246" s="307"/>
      <c r="CC246" s="307"/>
      <c r="CD246" s="307"/>
      <c r="CE246" s="307"/>
      <c r="CF246" s="307"/>
      <c r="CG246" s="307"/>
      <c r="CH246" s="307"/>
      <c r="CI246" s="307"/>
      <c r="CJ246" s="307"/>
      <c r="CK246" s="307"/>
      <c r="CL246" s="307"/>
      <c r="CM246" s="307"/>
      <c r="CN246" s="307"/>
      <c r="CO246" s="307"/>
      <c r="CP246" s="307"/>
      <c r="CQ246" s="307"/>
      <c r="CR246" s="307"/>
      <c r="CS246" s="307"/>
      <c r="CT246" s="307"/>
      <c r="CU246" s="307"/>
      <c r="CV246" s="307"/>
      <c r="CW246" s="307"/>
      <c r="CX246" s="307"/>
      <c r="CY246" s="307"/>
      <c r="CZ246" s="307"/>
      <c r="DA246" s="307"/>
      <c r="DB246" s="280"/>
      <c r="DC246" s="280"/>
      <c r="DD246" s="280"/>
      <c r="DE246" s="280"/>
      <c r="DF246" s="280"/>
      <c r="DG246" s="280"/>
      <c r="DH246" s="280"/>
      <c r="DI246" s="280"/>
      <c r="DJ246" s="280"/>
      <c r="DK246" s="280"/>
      <c r="DL246" s="280"/>
      <c r="DM246" s="280"/>
      <c r="DN246" s="280"/>
      <c r="DO246" s="280"/>
      <c r="DP246" s="280"/>
      <c r="DQ246" s="280"/>
      <c r="DR246" s="280"/>
      <c r="DS246" s="280"/>
      <c r="DT246" s="280"/>
      <c r="DU246" s="280"/>
      <c r="DV246" s="280"/>
      <c r="DW246" s="280"/>
      <c r="DX246" s="280"/>
      <c r="DY246" s="280"/>
      <c r="DZ246" s="280"/>
      <c r="EA246" s="280"/>
      <c r="EB246" s="280"/>
      <c r="EC246" s="280"/>
      <c r="ED246" s="280"/>
      <c r="EE246" s="280"/>
      <c r="EF246" s="280"/>
      <c r="EG246" s="280"/>
      <c r="EH246" s="280"/>
      <c r="EI246" s="280"/>
      <c r="EJ246" s="280"/>
      <c r="EK246" s="280"/>
      <c r="EL246" s="280"/>
      <c r="EM246" s="280"/>
      <c r="EN246" s="280"/>
      <c r="EO246" s="280"/>
      <c r="EP246" s="521"/>
      <c r="EQ246" s="521"/>
      <c r="ER246" s="521"/>
      <c r="ES246" s="521"/>
      <c r="ET246" s="521"/>
      <c r="EU246" s="521"/>
      <c r="EV246" s="521"/>
      <c r="EW246" s="521"/>
      <c r="EX246" s="521"/>
      <c r="EY246" s="521"/>
      <c r="EZ246" s="521"/>
      <c r="FA246" s="521"/>
      <c r="FB246" s="521"/>
      <c r="FC246" s="521"/>
      <c r="FD246" s="521"/>
      <c r="FE246" s="521"/>
      <c r="FF246" s="521"/>
      <c r="FG246" s="521"/>
      <c r="FH246" s="567"/>
      <c r="FI246" s="567"/>
      <c r="FJ246" s="567"/>
      <c r="FK246" s="567"/>
      <c r="FL246" s="567"/>
      <c r="FM246" s="567"/>
      <c r="FN246" s="567"/>
      <c r="FO246" s="567"/>
    </row>
    <row r="247" spans="1:171" s="568" customFormat="1" ht="13.9" customHeight="1">
      <c r="A247" s="566"/>
      <c r="B247" s="566"/>
      <c r="C247" s="566"/>
      <c r="D247" s="546"/>
      <c r="E247" s="547"/>
      <c r="F247" s="548"/>
      <c r="G247" s="548"/>
      <c r="H247" s="548"/>
      <c r="I247" s="548"/>
      <c r="J247" s="548"/>
      <c r="K247" s="549"/>
      <c r="L247" s="546"/>
      <c r="M247" s="546"/>
      <c r="N247" s="546"/>
      <c r="O247" s="546"/>
      <c r="P247" s="545"/>
      <c r="Q247" s="545"/>
      <c r="R247" s="545"/>
      <c r="S247" s="545"/>
      <c r="T247" s="545"/>
      <c r="U247" s="545"/>
      <c r="V247" s="545"/>
      <c r="W247" s="545"/>
      <c r="X247" s="553"/>
      <c r="Y247" s="553"/>
      <c r="Z247" s="553"/>
      <c r="AA247" s="554"/>
      <c r="AB247" s="550"/>
      <c r="AC247" s="550"/>
      <c r="AD247" s="550"/>
      <c r="AE247" s="307"/>
      <c r="AF247" s="307"/>
      <c r="AG247" s="307"/>
      <c r="AH247" s="307"/>
      <c r="AI247" s="307"/>
      <c r="AJ247" s="307"/>
      <c r="AK247" s="307"/>
      <c r="AL247" s="307"/>
      <c r="AM247" s="307"/>
      <c r="AN247" s="307"/>
      <c r="AO247" s="307"/>
      <c r="AP247" s="307"/>
      <c r="AQ247" s="307"/>
      <c r="AR247" s="307"/>
      <c r="AS247" s="307"/>
      <c r="AT247" s="307"/>
      <c r="AU247" s="307"/>
      <c r="AV247" s="307"/>
      <c r="AW247" s="307"/>
      <c r="AX247" s="307"/>
      <c r="AY247" s="307"/>
      <c r="AZ247" s="307"/>
      <c r="BA247" s="307"/>
      <c r="BB247" s="307"/>
      <c r="BC247" s="307"/>
      <c r="BD247" s="307"/>
      <c r="BE247" s="307"/>
      <c r="BF247" s="307"/>
      <c r="BG247" s="307"/>
      <c r="BH247" s="307"/>
      <c r="BI247" s="307"/>
      <c r="BJ247" s="307"/>
      <c r="BK247" s="307"/>
      <c r="BL247" s="307"/>
      <c r="BM247" s="307"/>
      <c r="BN247" s="307"/>
      <c r="BO247" s="307"/>
      <c r="BP247" s="307"/>
      <c r="BQ247" s="307"/>
      <c r="BR247" s="307"/>
      <c r="BS247" s="307"/>
      <c r="BT247" s="307"/>
      <c r="BU247" s="307"/>
      <c r="BV247" s="307"/>
      <c r="BW247" s="307"/>
      <c r="BX247" s="307"/>
      <c r="BY247" s="307"/>
      <c r="BZ247" s="307"/>
      <c r="CA247" s="307"/>
      <c r="CB247" s="307"/>
      <c r="CC247" s="307"/>
      <c r="CD247" s="307"/>
      <c r="CE247" s="307"/>
      <c r="CF247" s="307"/>
      <c r="CG247" s="307"/>
      <c r="CH247" s="307"/>
      <c r="CI247" s="307"/>
      <c r="CJ247" s="307"/>
      <c r="CK247" s="307"/>
      <c r="CL247" s="307"/>
      <c r="CM247" s="307"/>
      <c r="CN247" s="307"/>
      <c r="CO247" s="307"/>
      <c r="CP247" s="307"/>
      <c r="CQ247" s="307"/>
      <c r="CR247" s="307"/>
      <c r="CS247" s="307"/>
      <c r="CT247" s="307"/>
      <c r="CU247" s="307"/>
      <c r="CV247" s="307"/>
      <c r="CW247" s="307"/>
      <c r="CX247" s="307"/>
      <c r="CY247" s="307"/>
      <c r="CZ247" s="307"/>
      <c r="DA247" s="307"/>
      <c r="DB247" s="280"/>
      <c r="DC247" s="280"/>
      <c r="DD247" s="280"/>
      <c r="DE247" s="280"/>
      <c r="DF247" s="280"/>
      <c r="DG247" s="280"/>
      <c r="DH247" s="280"/>
      <c r="DI247" s="280"/>
      <c r="DJ247" s="280"/>
      <c r="DK247" s="280"/>
      <c r="DL247" s="280"/>
      <c r="DM247" s="280"/>
      <c r="DN247" s="280"/>
      <c r="DO247" s="280"/>
      <c r="DP247" s="280"/>
      <c r="DQ247" s="280"/>
      <c r="DR247" s="280"/>
      <c r="DS247" s="280"/>
      <c r="DT247" s="280"/>
      <c r="DU247" s="280"/>
      <c r="DV247" s="280"/>
      <c r="DW247" s="280"/>
      <c r="DX247" s="280"/>
      <c r="DY247" s="280"/>
      <c r="DZ247" s="280"/>
      <c r="EA247" s="280"/>
      <c r="EB247" s="280"/>
      <c r="EC247" s="280"/>
      <c r="ED247" s="280"/>
      <c r="EE247" s="280"/>
      <c r="EF247" s="280"/>
      <c r="EG247" s="280"/>
      <c r="EH247" s="280"/>
      <c r="EI247" s="280"/>
      <c r="EJ247" s="280"/>
      <c r="EK247" s="280"/>
      <c r="EL247" s="280"/>
      <c r="EM247" s="280"/>
      <c r="EN247" s="280"/>
      <c r="EO247" s="280"/>
      <c r="EP247" s="521"/>
      <c r="EQ247" s="521"/>
      <c r="ER247" s="521"/>
      <c r="ES247" s="521"/>
      <c r="ET247" s="521"/>
      <c r="EU247" s="521"/>
      <c r="EV247" s="521"/>
      <c r="EW247" s="521"/>
      <c r="EX247" s="521"/>
      <c r="EY247" s="521"/>
      <c r="EZ247" s="521"/>
      <c r="FA247" s="521"/>
      <c r="FB247" s="521"/>
      <c r="FC247" s="521"/>
      <c r="FD247" s="521"/>
      <c r="FE247" s="521"/>
      <c r="FF247" s="521"/>
      <c r="FG247" s="521"/>
      <c r="FH247" s="567"/>
      <c r="FI247" s="567"/>
      <c r="FJ247" s="567"/>
      <c r="FK247" s="567"/>
      <c r="FL247" s="567"/>
      <c r="FM247" s="567"/>
      <c r="FN247" s="567"/>
      <c r="FO247" s="567"/>
    </row>
    <row r="248" spans="1:171" s="568" customFormat="1" ht="13.9" customHeight="1">
      <c r="A248" s="566"/>
      <c r="B248" s="566"/>
      <c r="C248" s="566"/>
      <c r="D248" s="546"/>
      <c r="E248" s="547"/>
      <c r="F248" s="548"/>
      <c r="G248" s="548"/>
      <c r="H248" s="548"/>
      <c r="I248" s="548"/>
      <c r="J248" s="548"/>
      <c r="K248" s="549"/>
      <c r="L248" s="546"/>
      <c r="M248" s="546"/>
      <c r="N248" s="546"/>
      <c r="O248" s="546"/>
      <c r="P248" s="545"/>
      <c r="Q248" s="545"/>
      <c r="R248" s="545"/>
      <c r="S248" s="545"/>
      <c r="T248" s="545"/>
      <c r="U248" s="545"/>
      <c r="V248" s="545"/>
      <c r="W248" s="545"/>
      <c r="X248" s="553"/>
      <c r="Y248" s="553"/>
      <c r="Z248" s="553"/>
      <c r="AA248" s="554"/>
      <c r="AB248" s="550"/>
      <c r="AC248" s="550"/>
      <c r="AD248" s="550"/>
      <c r="AE248" s="307"/>
      <c r="AF248" s="307"/>
      <c r="AG248" s="307"/>
      <c r="AH248" s="307"/>
      <c r="AI248" s="307"/>
      <c r="AJ248" s="307"/>
      <c r="AK248" s="307"/>
      <c r="AL248" s="307"/>
      <c r="AM248" s="307"/>
      <c r="AN248" s="307"/>
      <c r="AO248" s="307"/>
      <c r="AP248" s="307"/>
      <c r="AQ248" s="307"/>
      <c r="AR248" s="307"/>
      <c r="AS248" s="307"/>
      <c r="AT248" s="307"/>
      <c r="AU248" s="307"/>
      <c r="AV248" s="307"/>
      <c r="AW248" s="307"/>
      <c r="AX248" s="307"/>
      <c r="AY248" s="307"/>
      <c r="AZ248" s="307"/>
      <c r="BA248" s="307"/>
      <c r="BB248" s="307"/>
      <c r="BC248" s="307"/>
      <c r="BD248" s="307"/>
      <c r="BE248" s="307"/>
      <c r="BF248" s="307"/>
      <c r="BG248" s="307"/>
      <c r="BH248" s="307"/>
      <c r="BI248" s="307"/>
      <c r="BJ248" s="307"/>
      <c r="BK248" s="307"/>
      <c r="BL248" s="307"/>
      <c r="BM248" s="307"/>
      <c r="BN248" s="307"/>
      <c r="BO248" s="307"/>
      <c r="BP248" s="307"/>
      <c r="BQ248" s="307"/>
      <c r="BR248" s="307"/>
      <c r="BS248" s="307"/>
      <c r="BT248" s="307"/>
      <c r="BU248" s="307"/>
      <c r="BV248" s="307"/>
      <c r="BW248" s="307"/>
      <c r="BX248" s="307"/>
      <c r="BY248" s="307"/>
      <c r="BZ248" s="307"/>
      <c r="CA248" s="307"/>
      <c r="CB248" s="307"/>
      <c r="CC248" s="307"/>
      <c r="CD248" s="307"/>
      <c r="CE248" s="307"/>
      <c r="CF248" s="307"/>
      <c r="CG248" s="307"/>
      <c r="CH248" s="307"/>
      <c r="CI248" s="307"/>
      <c r="CJ248" s="307"/>
      <c r="CK248" s="307"/>
      <c r="CL248" s="307"/>
      <c r="CM248" s="307"/>
      <c r="CN248" s="307"/>
      <c r="CO248" s="307"/>
      <c r="CP248" s="307"/>
      <c r="CQ248" s="307"/>
      <c r="CR248" s="307"/>
      <c r="CS248" s="307"/>
      <c r="CT248" s="307"/>
      <c r="CU248" s="307"/>
      <c r="CV248" s="307"/>
      <c r="CW248" s="307"/>
      <c r="CX248" s="307"/>
      <c r="CY248" s="307"/>
      <c r="CZ248" s="307"/>
      <c r="DA248" s="307"/>
      <c r="DB248" s="280"/>
      <c r="DC248" s="280"/>
      <c r="DD248" s="280"/>
      <c r="DE248" s="280"/>
      <c r="DF248" s="280"/>
      <c r="DG248" s="280"/>
      <c r="DH248" s="280"/>
      <c r="DI248" s="280"/>
      <c r="DJ248" s="280"/>
      <c r="DK248" s="280"/>
      <c r="DL248" s="280"/>
      <c r="DM248" s="280"/>
      <c r="DN248" s="280"/>
      <c r="DO248" s="280"/>
      <c r="DP248" s="280"/>
      <c r="DQ248" s="280"/>
      <c r="DR248" s="280"/>
      <c r="DS248" s="280"/>
      <c r="DT248" s="280"/>
      <c r="DU248" s="280"/>
      <c r="DV248" s="280"/>
      <c r="DW248" s="280"/>
      <c r="DX248" s="280"/>
      <c r="DY248" s="280"/>
      <c r="DZ248" s="280"/>
      <c r="EA248" s="280"/>
      <c r="EB248" s="280"/>
      <c r="EC248" s="280"/>
      <c r="ED248" s="280"/>
      <c r="EE248" s="280"/>
      <c r="EF248" s="280"/>
      <c r="EG248" s="280"/>
      <c r="EH248" s="280"/>
      <c r="EI248" s="280"/>
      <c r="EJ248" s="280"/>
      <c r="EK248" s="280"/>
      <c r="EL248" s="280"/>
      <c r="EM248" s="280"/>
      <c r="EN248" s="280"/>
      <c r="EO248" s="280"/>
      <c r="EP248" s="521"/>
      <c r="EQ248" s="521"/>
      <c r="ER248" s="521"/>
      <c r="ES248" s="521"/>
      <c r="ET248" s="521"/>
      <c r="EU248" s="521"/>
      <c r="EV248" s="521"/>
      <c r="EW248" s="521"/>
      <c r="EX248" s="521"/>
      <c r="EY248" s="521"/>
      <c r="EZ248" s="521"/>
      <c r="FA248" s="521"/>
      <c r="FB248" s="521"/>
      <c r="FC248" s="521"/>
      <c r="FD248" s="521"/>
      <c r="FE248" s="521"/>
      <c r="FF248" s="521"/>
      <c r="FG248" s="521"/>
      <c r="FH248" s="567"/>
      <c r="FI248" s="567"/>
      <c r="FJ248" s="567"/>
      <c r="FK248" s="567"/>
      <c r="FL248" s="567"/>
      <c r="FM248" s="567"/>
      <c r="FN248" s="567"/>
      <c r="FO248" s="567"/>
    </row>
    <row r="249" spans="1:171" s="568" customFormat="1" ht="13.9" customHeight="1">
      <c r="A249" s="566"/>
      <c r="B249" s="566"/>
      <c r="C249" s="566"/>
      <c r="D249" s="546"/>
      <c r="E249" s="547"/>
      <c r="F249" s="548"/>
      <c r="G249" s="548"/>
      <c r="H249" s="548"/>
      <c r="I249" s="548"/>
      <c r="J249" s="548"/>
      <c r="K249" s="549"/>
      <c r="L249" s="546"/>
      <c r="M249" s="546"/>
      <c r="N249" s="546"/>
      <c r="O249" s="546"/>
      <c r="P249" s="545"/>
      <c r="Q249" s="545"/>
      <c r="R249" s="545"/>
      <c r="S249" s="545"/>
      <c r="T249" s="545"/>
      <c r="U249" s="545"/>
      <c r="V249" s="545"/>
      <c r="W249" s="545"/>
      <c r="X249" s="553"/>
      <c r="Y249" s="553"/>
      <c r="Z249" s="553"/>
      <c r="AA249" s="554"/>
      <c r="AB249" s="550"/>
      <c r="AC249" s="550"/>
      <c r="AD249" s="550"/>
      <c r="AE249" s="307"/>
      <c r="AF249" s="307"/>
      <c r="AG249" s="307"/>
      <c r="AH249" s="307"/>
      <c r="AI249" s="307"/>
      <c r="AJ249" s="307"/>
      <c r="AK249" s="307"/>
      <c r="AL249" s="307"/>
      <c r="AM249" s="307"/>
      <c r="AN249" s="307"/>
      <c r="AO249" s="307"/>
      <c r="AP249" s="307"/>
      <c r="AQ249" s="307"/>
      <c r="AR249" s="307"/>
      <c r="AS249" s="307"/>
      <c r="AT249" s="307"/>
      <c r="AU249" s="307"/>
      <c r="AV249" s="307"/>
      <c r="AW249" s="307"/>
      <c r="AX249" s="307"/>
      <c r="AY249" s="307"/>
      <c r="AZ249" s="307"/>
      <c r="BA249" s="307"/>
      <c r="BB249" s="307"/>
      <c r="BC249" s="307"/>
      <c r="BD249" s="307"/>
      <c r="BE249" s="307"/>
      <c r="BF249" s="307"/>
      <c r="BG249" s="307"/>
      <c r="BH249" s="307"/>
      <c r="BI249" s="307"/>
      <c r="BJ249" s="307"/>
      <c r="BK249" s="307"/>
      <c r="BL249" s="307"/>
      <c r="BM249" s="307"/>
      <c r="BN249" s="307"/>
      <c r="BO249" s="307"/>
      <c r="BP249" s="307"/>
      <c r="BQ249" s="307"/>
      <c r="BR249" s="307"/>
      <c r="BS249" s="307"/>
      <c r="BT249" s="307"/>
      <c r="BU249" s="307"/>
      <c r="BV249" s="307"/>
      <c r="BW249" s="307"/>
      <c r="BX249" s="307"/>
      <c r="BY249" s="307"/>
      <c r="BZ249" s="307"/>
      <c r="CA249" s="307"/>
      <c r="CB249" s="307"/>
      <c r="CC249" s="307"/>
      <c r="CD249" s="307"/>
      <c r="CE249" s="307"/>
      <c r="CF249" s="307"/>
      <c r="CG249" s="307"/>
      <c r="CH249" s="307"/>
      <c r="CI249" s="307"/>
      <c r="CJ249" s="307"/>
      <c r="CK249" s="307"/>
      <c r="CL249" s="307"/>
      <c r="CM249" s="307"/>
      <c r="CN249" s="307"/>
      <c r="CO249" s="307"/>
      <c r="CP249" s="307"/>
      <c r="CQ249" s="307"/>
      <c r="CR249" s="307"/>
      <c r="CS249" s="307"/>
      <c r="CT249" s="307"/>
      <c r="CU249" s="307"/>
      <c r="CV249" s="307"/>
      <c r="CW249" s="307"/>
      <c r="CX249" s="307"/>
      <c r="CY249" s="307"/>
      <c r="CZ249" s="307"/>
      <c r="DA249" s="307"/>
      <c r="DB249" s="280"/>
      <c r="DC249" s="280"/>
      <c r="DD249" s="280"/>
      <c r="DE249" s="280"/>
      <c r="DF249" s="280"/>
      <c r="DG249" s="280"/>
      <c r="DH249" s="280"/>
      <c r="DI249" s="280"/>
      <c r="DJ249" s="280"/>
      <c r="DK249" s="280"/>
      <c r="DL249" s="280"/>
      <c r="DM249" s="280"/>
      <c r="DN249" s="280"/>
      <c r="DO249" s="280"/>
      <c r="DP249" s="280"/>
      <c r="DQ249" s="280"/>
      <c r="DR249" s="280"/>
      <c r="DS249" s="280"/>
      <c r="DT249" s="280"/>
      <c r="DU249" s="280"/>
      <c r="DV249" s="280"/>
      <c r="DW249" s="280"/>
      <c r="DX249" s="280"/>
      <c r="DY249" s="280"/>
      <c r="DZ249" s="280"/>
      <c r="EA249" s="280"/>
      <c r="EB249" s="280"/>
      <c r="EC249" s="280"/>
      <c r="ED249" s="280"/>
      <c r="EE249" s="280"/>
      <c r="EF249" s="280"/>
      <c r="EG249" s="280"/>
      <c r="EH249" s="280"/>
      <c r="EI249" s="280"/>
      <c r="EJ249" s="280"/>
      <c r="EK249" s="280"/>
      <c r="EL249" s="280"/>
      <c r="EM249" s="280"/>
      <c r="EN249" s="280"/>
      <c r="EO249" s="280"/>
      <c r="EP249" s="521"/>
      <c r="EQ249" s="521"/>
      <c r="ER249" s="521"/>
      <c r="ES249" s="521"/>
      <c r="ET249" s="521"/>
      <c r="EU249" s="521"/>
      <c r="EV249" s="521"/>
      <c r="EW249" s="521"/>
      <c r="EX249" s="521"/>
      <c r="EY249" s="521"/>
      <c r="EZ249" s="521"/>
      <c r="FA249" s="521"/>
      <c r="FB249" s="521"/>
      <c r="FC249" s="521"/>
      <c r="FD249" s="521"/>
      <c r="FE249" s="521"/>
      <c r="FF249" s="521"/>
      <c r="FG249" s="521"/>
      <c r="FH249" s="567"/>
      <c r="FI249" s="567"/>
      <c r="FJ249" s="567"/>
      <c r="FK249" s="567"/>
      <c r="FL249" s="567"/>
      <c r="FM249" s="567"/>
      <c r="FN249" s="567"/>
      <c r="FO249" s="567"/>
    </row>
    <row r="250" spans="1:171" s="568" customFormat="1" ht="13.9" customHeight="1">
      <c r="A250" s="566"/>
      <c r="B250" s="566"/>
      <c r="C250" s="566"/>
      <c r="D250" s="546"/>
      <c r="E250" s="547"/>
      <c r="F250" s="548"/>
      <c r="G250" s="548"/>
      <c r="H250" s="548"/>
      <c r="I250" s="548"/>
      <c r="J250" s="548"/>
      <c r="K250" s="549"/>
      <c r="L250" s="546"/>
      <c r="M250" s="546"/>
      <c r="N250" s="546"/>
      <c r="O250" s="546"/>
      <c r="P250" s="545"/>
      <c r="Q250" s="545"/>
      <c r="R250" s="545"/>
      <c r="S250" s="545"/>
      <c r="T250" s="545"/>
      <c r="U250" s="545"/>
      <c r="V250" s="545"/>
      <c r="W250" s="545"/>
      <c r="X250" s="553"/>
      <c r="Y250" s="553"/>
      <c r="Z250" s="553"/>
      <c r="AA250" s="554"/>
      <c r="AB250" s="550"/>
      <c r="AC250" s="550"/>
      <c r="AD250" s="550"/>
      <c r="AE250" s="307"/>
      <c r="AF250" s="307"/>
      <c r="AG250" s="307"/>
      <c r="AH250" s="307"/>
      <c r="AI250" s="307"/>
      <c r="AJ250" s="307"/>
      <c r="AK250" s="307"/>
      <c r="AL250" s="307"/>
      <c r="AM250" s="307"/>
      <c r="AN250" s="307"/>
      <c r="AO250" s="307"/>
      <c r="AP250" s="307"/>
      <c r="AQ250" s="307"/>
      <c r="AR250" s="307"/>
      <c r="AS250" s="307"/>
      <c r="AT250" s="307"/>
      <c r="AU250" s="307"/>
      <c r="AV250" s="307"/>
      <c r="AW250" s="307"/>
      <c r="AX250" s="307"/>
      <c r="AY250" s="307"/>
      <c r="AZ250" s="307"/>
      <c r="BA250" s="307"/>
      <c r="BB250" s="307"/>
      <c r="BC250" s="307"/>
      <c r="BD250" s="307"/>
      <c r="BE250" s="307"/>
      <c r="BF250" s="307"/>
      <c r="BG250" s="307"/>
      <c r="BH250" s="307"/>
      <c r="BI250" s="307"/>
      <c r="BJ250" s="307"/>
      <c r="BK250" s="307"/>
      <c r="BL250" s="307"/>
      <c r="BM250" s="307"/>
      <c r="BN250" s="307"/>
      <c r="BO250" s="307"/>
      <c r="BP250" s="307"/>
      <c r="BQ250" s="307"/>
      <c r="BR250" s="307"/>
      <c r="BS250" s="307"/>
      <c r="BT250" s="307"/>
      <c r="BU250" s="307"/>
      <c r="BV250" s="307"/>
      <c r="BW250" s="307"/>
      <c r="BX250" s="307"/>
      <c r="BY250" s="307"/>
      <c r="BZ250" s="307"/>
      <c r="CA250" s="307"/>
      <c r="CB250" s="307"/>
      <c r="CC250" s="307"/>
      <c r="CD250" s="307"/>
      <c r="CE250" s="307"/>
      <c r="CF250" s="307"/>
      <c r="CG250" s="307"/>
      <c r="CH250" s="307"/>
      <c r="CI250" s="307"/>
      <c r="CJ250" s="307"/>
      <c r="CK250" s="307"/>
      <c r="CL250" s="307"/>
      <c r="CM250" s="307"/>
      <c r="CN250" s="307"/>
      <c r="CO250" s="307"/>
      <c r="CP250" s="307"/>
      <c r="CQ250" s="307"/>
      <c r="CR250" s="307"/>
      <c r="CS250" s="307"/>
      <c r="CT250" s="307"/>
      <c r="CU250" s="307"/>
      <c r="CV250" s="307"/>
      <c r="CW250" s="307"/>
      <c r="CX250" s="307"/>
      <c r="CY250" s="307"/>
      <c r="CZ250" s="307"/>
      <c r="DA250" s="307"/>
      <c r="DB250" s="280"/>
      <c r="DC250" s="280"/>
      <c r="DD250" s="280"/>
      <c r="DE250" s="280"/>
      <c r="DF250" s="280"/>
      <c r="DG250" s="280"/>
      <c r="DH250" s="280"/>
      <c r="DI250" s="280"/>
      <c r="DJ250" s="280"/>
      <c r="DK250" s="280"/>
      <c r="DL250" s="280"/>
      <c r="DM250" s="280"/>
      <c r="DN250" s="280"/>
      <c r="DO250" s="280"/>
      <c r="DP250" s="280"/>
      <c r="DQ250" s="280"/>
      <c r="DR250" s="280"/>
      <c r="DS250" s="280"/>
      <c r="DT250" s="280"/>
      <c r="DU250" s="280"/>
      <c r="DV250" s="280"/>
      <c r="DW250" s="280"/>
      <c r="DX250" s="280"/>
      <c r="DY250" s="280"/>
      <c r="DZ250" s="280"/>
      <c r="EA250" s="280"/>
      <c r="EB250" s="280"/>
      <c r="EC250" s="280"/>
      <c r="ED250" s="280"/>
      <c r="EE250" s="280"/>
      <c r="EF250" s="280"/>
      <c r="EG250" s="280"/>
      <c r="EH250" s="280"/>
      <c r="EI250" s="280"/>
      <c r="EJ250" s="280"/>
      <c r="EK250" s="280"/>
      <c r="EL250" s="280"/>
      <c r="EM250" s="280"/>
      <c r="EN250" s="280"/>
      <c r="EO250" s="280"/>
      <c r="EP250" s="521"/>
      <c r="EQ250" s="521"/>
      <c r="ER250" s="521"/>
      <c r="ES250" s="521"/>
      <c r="ET250" s="521"/>
      <c r="EU250" s="521"/>
      <c r="EV250" s="521"/>
      <c r="EW250" s="521"/>
      <c r="EX250" s="521"/>
      <c r="EY250" s="521"/>
      <c r="EZ250" s="521"/>
      <c r="FA250" s="521"/>
      <c r="FB250" s="521"/>
      <c r="FC250" s="521"/>
      <c r="FD250" s="521"/>
      <c r="FE250" s="521"/>
      <c r="FF250" s="521"/>
      <c r="FG250" s="521"/>
      <c r="FH250" s="567"/>
      <c r="FI250" s="567"/>
      <c r="FJ250" s="567"/>
      <c r="FK250" s="567"/>
      <c r="FL250" s="567"/>
      <c r="FM250" s="567"/>
      <c r="FN250" s="567"/>
      <c r="FO250" s="567"/>
    </row>
    <row r="251" spans="1:171" s="568" customFormat="1" ht="13.9" customHeight="1">
      <c r="A251" s="566"/>
      <c r="B251" s="566"/>
      <c r="C251" s="566"/>
      <c r="D251" s="546"/>
      <c r="E251" s="547"/>
      <c r="F251" s="548"/>
      <c r="G251" s="548"/>
      <c r="H251" s="548"/>
      <c r="I251" s="548"/>
      <c r="J251" s="548"/>
      <c r="K251" s="549"/>
      <c r="L251" s="546"/>
      <c r="M251" s="546"/>
      <c r="N251" s="546"/>
      <c r="O251" s="546"/>
      <c r="P251" s="545"/>
      <c r="Q251" s="545"/>
      <c r="R251" s="545"/>
      <c r="S251" s="545"/>
      <c r="T251" s="545"/>
      <c r="U251" s="545"/>
      <c r="V251" s="545"/>
      <c r="W251" s="545"/>
      <c r="X251" s="553"/>
      <c r="Y251" s="553"/>
      <c r="Z251" s="553"/>
      <c r="AA251" s="554"/>
      <c r="AB251" s="550"/>
      <c r="AC251" s="550"/>
      <c r="AD251" s="550"/>
      <c r="AE251" s="307"/>
      <c r="AF251" s="307"/>
      <c r="AG251" s="307"/>
      <c r="AH251" s="307"/>
      <c r="AI251" s="307"/>
      <c r="AJ251" s="307"/>
      <c r="AK251" s="307"/>
      <c r="AL251" s="307"/>
      <c r="AM251" s="307"/>
      <c r="AN251" s="307"/>
      <c r="AO251" s="307"/>
      <c r="AP251" s="307"/>
      <c r="AQ251" s="307"/>
      <c r="AR251" s="307"/>
      <c r="AS251" s="307"/>
      <c r="AT251" s="307"/>
      <c r="AU251" s="307"/>
      <c r="AV251" s="307"/>
      <c r="AW251" s="307"/>
      <c r="AX251" s="307"/>
      <c r="AY251" s="307"/>
      <c r="AZ251" s="307"/>
      <c r="BA251" s="307"/>
      <c r="BB251" s="307"/>
      <c r="BC251" s="307"/>
      <c r="BD251" s="307"/>
      <c r="BE251" s="307"/>
      <c r="BF251" s="307"/>
      <c r="BG251" s="307"/>
      <c r="BH251" s="307"/>
      <c r="BI251" s="307"/>
      <c r="BJ251" s="307"/>
      <c r="BK251" s="307"/>
      <c r="BL251" s="307"/>
      <c r="BM251" s="307"/>
      <c r="BN251" s="307"/>
      <c r="BO251" s="307"/>
      <c r="BP251" s="307"/>
      <c r="BQ251" s="307"/>
      <c r="BR251" s="307"/>
      <c r="BS251" s="307"/>
      <c r="BT251" s="307"/>
      <c r="BU251" s="307"/>
      <c r="BV251" s="307"/>
      <c r="BW251" s="307"/>
      <c r="BX251" s="307"/>
      <c r="BY251" s="307"/>
      <c r="BZ251" s="307"/>
      <c r="CA251" s="307"/>
      <c r="CB251" s="307"/>
      <c r="CC251" s="307"/>
      <c r="CD251" s="307"/>
      <c r="CE251" s="307"/>
      <c r="CF251" s="307"/>
      <c r="CG251" s="307"/>
      <c r="CH251" s="307"/>
      <c r="CI251" s="307"/>
      <c r="CJ251" s="307"/>
      <c r="CK251" s="307"/>
      <c r="CL251" s="307"/>
      <c r="CM251" s="307"/>
      <c r="CN251" s="307"/>
      <c r="CO251" s="307"/>
      <c r="CP251" s="307"/>
      <c r="CQ251" s="307"/>
      <c r="CR251" s="307"/>
      <c r="CS251" s="307"/>
      <c r="CT251" s="307"/>
      <c r="CU251" s="307"/>
      <c r="CV251" s="307"/>
      <c r="CW251" s="307"/>
      <c r="CX251" s="307"/>
      <c r="CY251" s="307"/>
      <c r="CZ251" s="307"/>
      <c r="DA251" s="307"/>
      <c r="DB251" s="280"/>
      <c r="DC251" s="280"/>
      <c r="DD251" s="280"/>
      <c r="DE251" s="280"/>
      <c r="DF251" s="280"/>
      <c r="DG251" s="280"/>
      <c r="DH251" s="280"/>
      <c r="DI251" s="280"/>
      <c r="DJ251" s="280"/>
      <c r="DK251" s="280"/>
      <c r="DL251" s="280"/>
      <c r="DM251" s="280"/>
      <c r="DN251" s="280"/>
      <c r="DO251" s="280"/>
      <c r="DP251" s="280"/>
      <c r="DQ251" s="280"/>
      <c r="DR251" s="280"/>
      <c r="DS251" s="280"/>
      <c r="DT251" s="280"/>
      <c r="DU251" s="280"/>
      <c r="DV251" s="280"/>
      <c r="DW251" s="280"/>
      <c r="DX251" s="280"/>
      <c r="DY251" s="280"/>
      <c r="DZ251" s="280"/>
      <c r="EA251" s="280"/>
      <c r="EB251" s="280"/>
      <c r="EC251" s="280"/>
      <c r="ED251" s="280"/>
      <c r="EE251" s="280"/>
      <c r="EF251" s="280"/>
      <c r="EG251" s="280"/>
      <c r="EH251" s="280"/>
      <c r="EI251" s="280"/>
      <c r="EJ251" s="280"/>
      <c r="EK251" s="280"/>
      <c r="EL251" s="280"/>
      <c r="EM251" s="280"/>
      <c r="EN251" s="280"/>
      <c r="EO251" s="280"/>
      <c r="EP251" s="521"/>
      <c r="EQ251" s="521"/>
      <c r="ER251" s="521"/>
      <c r="ES251" s="521"/>
      <c r="ET251" s="521"/>
      <c r="EU251" s="521"/>
      <c r="EV251" s="521"/>
      <c r="EW251" s="521"/>
      <c r="EX251" s="521"/>
      <c r="EY251" s="521"/>
      <c r="EZ251" s="521"/>
      <c r="FA251" s="521"/>
      <c r="FB251" s="521"/>
      <c r="FC251" s="521"/>
      <c r="FD251" s="521"/>
      <c r="FE251" s="521"/>
      <c r="FF251" s="521"/>
      <c r="FG251" s="521"/>
      <c r="FH251" s="567"/>
      <c r="FI251" s="567"/>
      <c r="FJ251" s="567"/>
      <c r="FK251" s="567"/>
      <c r="FL251" s="567"/>
      <c r="FM251" s="567"/>
      <c r="FN251" s="567"/>
      <c r="FO251" s="567"/>
    </row>
    <row r="252" spans="1:171" s="568" customFormat="1" ht="13.9" customHeight="1">
      <c r="A252" s="566"/>
      <c r="B252" s="566"/>
      <c r="C252" s="566"/>
      <c r="D252" s="546"/>
      <c r="E252" s="547"/>
      <c r="F252" s="548"/>
      <c r="G252" s="548"/>
      <c r="H252" s="548"/>
      <c r="I252" s="548"/>
      <c r="J252" s="548"/>
      <c r="K252" s="549"/>
      <c r="L252" s="546"/>
      <c r="M252" s="546"/>
      <c r="N252" s="546"/>
      <c r="O252" s="546"/>
      <c r="P252" s="545"/>
      <c r="Q252" s="545"/>
      <c r="R252" s="545"/>
      <c r="S252" s="545"/>
      <c r="T252" s="545"/>
      <c r="U252" s="545"/>
      <c r="V252" s="545"/>
      <c r="W252" s="545"/>
      <c r="X252" s="553"/>
      <c r="Y252" s="553"/>
      <c r="Z252" s="553"/>
      <c r="AA252" s="554"/>
      <c r="AB252" s="550"/>
      <c r="AC252" s="550"/>
      <c r="AD252" s="550"/>
      <c r="AE252" s="307"/>
      <c r="AF252" s="307"/>
      <c r="AG252" s="307"/>
      <c r="AH252" s="307"/>
      <c r="AI252" s="307"/>
      <c r="AJ252" s="307"/>
      <c r="AK252" s="307"/>
      <c r="AL252" s="307"/>
      <c r="AM252" s="307"/>
      <c r="AN252" s="307"/>
      <c r="AO252" s="307"/>
      <c r="AP252" s="307"/>
      <c r="AQ252" s="307"/>
      <c r="AR252" s="307"/>
      <c r="AS252" s="307"/>
      <c r="AT252" s="307"/>
      <c r="AU252" s="307"/>
      <c r="AV252" s="307"/>
      <c r="AW252" s="307"/>
      <c r="AX252" s="307"/>
      <c r="AY252" s="307"/>
      <c r="AZ252" s="307"/>
      <c r="BA252" s="307"/>
      <c r="BB252" s="307"/>
      <c r="BC252" s="307"/>
      <c r="BD252" s="307"/>
      <c r="BE252" s="307"/>
      <c r="BF252" s="307"/>
      <c r="BG252" s="307"/>
      <c r="BH252" s="307"/>
      <c r="BI252" s="307"/>
      <c r="BJ252" s="307"/>
      <c r="BK252" s="307"/>
      <c r="BL252" s="307"/>
      <c r="BM252" s="307"/>
      <c r="BN252" s="307"/>
      <c r="BO252" s="307"/>
      <c r="BP252" s="307"/>
      <c r="BQ252" s="307"/>
      <c r="BR252" s="307"/>
      <c r="BS252" s="307"/>
      <c r="BT252" s="307"/>
      <c r="BU252" s="307"/>
      <c r="BV252" s="307"/>
      <c r="BW252" s="307"/>
      <c r="BX252" s="307"/>
      <c r="BY252" s="307"/>
      <c r="BZ252" s="307"/>
      <c r="CA252" s="307"/>
      <c r="CB252" s="307"/>
      <c r="CC252" s="307"/>
      <c r="CD252" s="307"/>
      <c r="CE252" s="307"/>
      <c r="CF252" s="307"/>
      <c r="CG252" s="307"/>
      <c r="CH252" s="307"/>
      <c r="CI252" s="307"/>
      <c r="CJ252" s="307"/>
      <c r="CK252" s="307"/>
      <c r="CL252" s="307"/>
      <c r="CM252" s="307"/>
      <c r="CN252" s="307"/>
      <c r="CO252" s="307"/>
      <c r="CP252" s="307"/>
      <c r="CQ252" s="307"/>
      <c r="CR252" s="307"/>
      <c r="CS252" s="307"/>
      <c r="CT252" s="307"/>
      <c r="CU252" s="307"/>
      <c r="CV252" s="307"/>
      <c r="CW252" s="307"/>
      <c r="CX252" s="307"/>
      <c r="CY252" s="307"/>
      <c r="CZ252" s="307"/>
      <c r="DA252" s="307"/>
      <c r="DB252" s="280"/>
      <c r="DC252" s="280"/>
      <c r="DD252" s="280"/>
      <c r="DE252" s="280"/>
      <c r="DF252" s="280"/>
      <c r="DG252" s="280"/>
      <c r="DH252" s="280"/>
      <c r="DI252" s="280"/>
      <c r="DJ252" s="280"/>
      <c r="DK252" s="280"/>
      <c r="DL252" s="280"/>
      <c r="DM252" s="280"/>
      <c r="DN252" s="280"/>
      <c r="DO252" s="280"/>
      <c r="DP252" s="280"/>
      <c r="DQ252" s="280"/>
      <c r="DR252" s="280"/>
      <c r="DS252" s="280"/>
      <c r="DT252" s="280"/>
      <c r="DU252" s="280"/>
      <c r="DV252" s="280"/>
      <c r="DW252" s="280"/>
      <c r="DX252" s="280"/>
      <c r="DY252" s="280"/>
      <c r="DZ252" s="280"/>
      <c r="EA252" s="280"/>
      <c r="EB252" s="280"/>
      <c r="EC252" s="280"/>
      <c r="ED252" s="280"/>
      <c r="EE252" s="280"/>
      <c r="EF252" s="280"/>
      <c r="EG252" s="280"/>
      <c r="EH252" s="280"/>
      <c r="EI252" s="280"/>
      <c r="EJ252" s="280"/>
      <c r="EK252" s="280"/>
      <c r="EL252" s="280"/>
      <c r="EM252" s="280"/>
      <c r="EN252" s="280"/>
      <c r="EO252" s="280"/>
      <c r="EP252" s="521"/>
      <c r="EQ252" s="521"/>
      <c r="ER252" s="521"/>
      <c r="ES252" s="521"/>
      <c r="ET252" s="521"/>
      <c r="EU252" s="521"/>
      <c r="EV252" s="521"/>
      <c r="EW252" s="521"/>
      <c r="EX252" s="521"/>
      <c r="EY252" s="521"/>
      <c r="EZ252" s="521"/>
      <c r="FA252" s="521"/>
      <c r="FB252" s="521"/>
      <c r="FC252" s="521"/>
      <c r="FD252" s="521"/>
      <c r="FE252" s="521"/>
      <c r="FF252" s="521"/>
      <c r="FG252" s="521"/>
      <c r="FH252" s="567"/>
      <c r="FI252" s="567"/>
      <c r="FJ252" s="567"/>
      <c r="FK252" s="567"/>
      <c r="FL252" s="567"/>
      <c r="FM252" s="567"/>
      <c r="FN252" s="567"/>
      <c r="FO252" s="567"/>
    </row>
    <row r="253" spans="1:171" s="568" customFormat="1" ht="13.9" customHeight="1">
      <c r="A253" s="566"/>
      <c r="B253" s="566"/>
      <c r="C253" s="566"/>
      <c r="D253" s="546"/>
      <c r="E253" s="547"/>
      <c r="F253" s="548"/>
      <c r="G253" s="548"/>
      <c r="H253" s="548"/>
      <c r="I253" s="548"/>
      <c r="J253" s="548"/>
      <c r="K253" s="549"/>
      <c r="L253" s="546"/>
      <c r="M253" s="546"/>
      <c r="N253" s="546"/>
      <c r="O253" s="546"/>
      <c r="P253" s="545"/>
      <c r="Q253" s="545"/>
      <c r="R253" s="545"/>
      <c r="S253" s="545"/>
      <c r="T253" s="545"/>
      <c r="U253" s="545"/>
      <c r="V253" s="545"/>
      <c r="W253" s="545"/>
      <c r="X253" s="553"/>
      <c r="Y253" s="553"/>
      <c r="Z253" s="553"/>
      <c r="AA253" s="554"/>
      <c r="AB253" s="550"/>
      <c r="AC253" s="550"/>
      <c r="AD253" s="550"/>
      <c r="AE253" s="307"/>
      <c r="AF253" s="307"/>
      <c r="AG253" s="307"/>
      <c r="AH253" s="307"/>
      <c r="AI253" s="307"/>
      <c r="AJ253" s="307"/>
      <c r="AK253" s="307"/>
      <c r="AL253" s="307"/>
      <c r="AM253" s="307"/>
      <c r="AN253" s="307"/>
      <c r="AO253" s="307"/>
      <c r="AP253" s="307"/>
      <c r="AQ253" s="307"/>
      <c r="AR253" s="307"/>
      <c r="AS253" s="307"/>
      <c r="AT253" s="307"/>
      <c r="AU253" s="307"/>
      <c r="AV253" s="307"/>
      <c r="AW253" s="307"/>
      <c r="AX253" s="307"/>
      <c r="AY253" s="307"/>
      <c r="AZ253" s="307"/>
      <c r="BA253" s="307"/>
      <c r="BB253" s="307"/>
      <c r="BC253" s="307"/>
      <c r="BD253" s="307"/>
      <c r="BE253" s="307"/>
      <c r="BF253" s="307"/>
      <c r="BG253" s="307"/>
      <c r="BH253" s="307"/>
      <c r="BI253" s="307"/>
      <c r="BJ253" s="307"/>
      <c r="BK253" s="307"/>
      <c r="BL253" s="307"/>
      <c r="BM253" s="307"/>
      <c r="BN253" s="307"/>
      <c r="BO253" s="307"/>
      <c r="BP253" s="307"/>
      <c r="BQ253" s="307"/>
      <c r="BR253" s="307"/>
      <c r="BS253" s="307"/>
      <c r="BT253" s="307"/>
      <c r="BU253" s="307"/>
      <c r="BV253" s="307"/>
      <c r="BW253" s="307"/>
      <c r="BX253" s="307"/>
      <c r="BY253" s="307"/>
      <c r="BZ253" s="307"/>
      <c r="CA253" s="307"/>
      <c r="CB253" s="307"/>
      <c r="CC253" s="307"/>
      <c r="CD253" s="307"/>
      <c r="CE253" s="307"/>
      <c r="CF253" s="307"/>
      <c r="CG253" s="307"/>
      <c r="CH253" s="307"/>
      <c r="CI253" s="307"/>
      <c r="CJ253" s="307"/>
      <c r="CK253" s="307"/>
      <c r="CL253" s="307"/>
      <c r="CM253" s="307"/>
      <c r="CN253" s="307"/>
      <c r="CO253" s="307"/>
      <c r="CP253" s="307"/>
      <c r="CQ253" s="307"/>
      <c r="CR253" s="307"/>
      <c r="CS253" s="307"/>
      <c r="CT253" s="307"/>
      <c r="CU253" s="307"/>
      <c r="CV253" s="307"/>
      <c r="CW253" s="307"/>
      <c r="CX253" s="307"/>
      <c r="CY253" s="307"/>
      <c r="CZ253" s="307"/>
      <c r="DA253" s="307"/>
      <c r="DB253" s="280"/>
      <c r="DC253" s="280"/>
      <c r="DD253" s="280"/>
      <c r="DE253" s="280"/>
      <c r="DF253" s="280"/>
      <c r="DG253" s="280"/>
      <c r="DH253" s="280"/>
      <c r="DI253" s="280"/>
      <c r="DJ253" s="280"/>
      <c r="DK253" s="280"/>
      <c r="DL253" s="280"/>
      <c r="DM253" s="280"/>
      <c r="DN253" s="280"/>
      <c r="DO253" s="280"/>
      <c r="DP253" s="280"/>
      <c r="DQ253" s="280"/>
      <c r="DR253" s="280"/>
      <c r="DS253" s="280"/>
      <c r="DT253" s="280"/>
      <c r="DU253" s="280"/>
      <c r="DV253" s="280"/>
      <c r="DW253" s="280"/>
      <c r="DX253" s="280"/>
      <c r="DY253" s="280"/>
      <c r="DZ253" s="280"/>
      <c r="EA253" s="280"/>
      <c r="EB253" s="280"/>
      <c r="EC253" s="280"/>
      <c r="ED253" s="280"/>
      <c r="EE253" s="280"/>
      <c r="EF253" s="280"/>
      <c r="EG253" s="280"/>
      <c r="EH253" s="280"/>
      <c r="EI253" s="280"/>
      <c r="EJ253" s="280"/>
      <c r="EK253" s="280"/>
      <c r="EL253" s="280"/>
      <c r="EM253" s="280"/>
      <c r="EN253" s="280"/>
      <c r="EO253" s="280"/>
      <c r="EP253" s="521"/>
      <c r="EQ253" s="521"/>
      <c r="ER253" s="521"/>
      <c r="ES253" s="521"/>
      <c r="ET253" s="521"/>
      <c r="EU253" s="521"/>
      <c r="EV253" s="521"/>
      <c r="EW253" s="521"/>
      <c r="EX253" s="521"/>
      <c r="EY253" s="521"/>
      <c r="EZ253" s="521"/>
      <c r="FA253" s="521"/>
      <c r="FB253" s="521"/>
      <c r="FC253" s="521"/>
      <c r="FD253" s="521"/>
      <c r="FE253" s="521"/>
      <c r="FF253" s="521"/>
      <c r="FG253" s="521"/>
      <c r="FH253" s="567"/>
      <c r="FI253" s="567"/>
      <c r="FJ253" s="567"/>
      <c r="FK253" s="567"/>
      <c r="FL253" s="567"/>
      <c r="FM253" s="567"/>
      <c r="FN253" s="567"/>
      <c r="FO253" s="567"/>
    </row>
    <row r="254" spans="1:171" s="568" customFormat="1" ht="13.9" customHeight="1">
      <c r="A254" s="566"/>
      <c r="B254" s="566"/>
      <c r="C254" s="566"/>
      <c r="D254" s="569"/>
      <c r="E254" s="570"/>
      <c r="F254" s="571"/>
      <c r="G254" s="571"/>
      <c r="H254" s="571"/>
      <c r="I254" s="571"/>
      <c r="J254" s="571"/>
      <c r="K254" s="572"/>
      <c r="L254" s="569"/>
      <c r="M254" s="569"/>
      <c r="N254" s="569"/>
      <c r="O254" s="569"/>
      <c r="P254" s="566"/>
      <c r="Q254" s="566"/>
      <c r="R254" s="566"/>
      <c r="S254" s="566"/>
      <c r="T254" s="566"/>
      <c r="U254" s="566"/>
      <c r="V254" s="566"/>
      <c r="W254" s="566"/>
      <c r="X254" s="553"/>
      <c r="Y254" s="553"/>
      <c r="Z254" s="553"/>
      <c r="AA254" s="554"/>
      <c r="AB254" s="550"/>
      <c r="AC254" s="550"/>
      <c r="AD254" s="550"/>
      <c r="AE254" s="307"/>
      <c r="AF254" s="307"/>
      <c r="AG254" s="307"/>
      <c r="AH254" s="307"/>
      <c r="AI254" s="307"/>
      <c r="AJ254" s="307"/>
      <c r="AK254" s="307"/>
      <c r="AL254" s="307"/>
      <c r="AM254" s="307"/>
      <c r="AN254" s="307"/>
      <c r="AO254" s="307"/>
      <c r="AP254" s="307"/>
      <c r="AQ254" s="307"/>
      <c r="AR254" s="307"/>
      <c r="AS254" s="307"/>
      <c r="AT254" s="307"/>
      <c r="AU254" s="307"/>
      <c r="AV254" s="307"/>
      <c r="AW254" s="307"/>
      <c r="AX254" s="307"/>
      <c r="AY254" s="307"/>
      <c r="AZ254" s="307"/>
      <c r="BA254" s="307"/>
      <c r="BB254" s="307"/>
      <c r="BC254" s="307"/>
      <c r="BD254" s="307"/>
      <c r="BE254" s="307"/>
      <c r="BF254" s="307"/>
      <c r="BG254" s="307"/>
      <c r="BH254" s="307"/>
      <c r="BI254" s="307"/>
      <c r="BJ254" s="307"/>
      <c r="BK254" s="307"/>
      <c r="BL254" s="307"/>
      <c r="BM254" s="307"/>
      <c r="BN254" s="307"/>
      <c r="BO254" s="307"/>
      <c r="BP254" s="307"/>
      <c r="BQ254" s="307"/>
      <c r="BR254" s="307"/>
      <c r="BS254" s="307"/>
      <c r="BT254" s="307"/>
      <c r="BU254" s="307"/>
      <c r="BV254" s="307"/>
      <c r="BW254" s="307"/>
      <c r="BX254" s="307"/>
      <c r="BY254" s="307"/>
      <c r="BZ254" s="307"/>
      <c r="CA254" s="307"/>
      <c r="CB254" s="307"/>
      <c r="CC254" s="307"/>
      <c r="CD254" s="307"/>
      <c r="CE254" s="307"/>
      <c r="CF254" s="307"/>
      <c r="CG254" s="307"/>
      <c r="CH254" s="307"/>
      <c r="CI254" s="307"/>
      <c r="CJ254" s="307"/>
      <c r="CK254" s="307"/>
      <c r="CL254" s="307"/>
      <c r="CM254" s="307"/>
      <c r="CN254" s="307"/>
      <c r="CO254" s="307"/>
      <c r="CP254" s="307"/>
      <c r="CQ254" s="307"/>
      <c r="CR254" s="307"/>
      <c r="CS254" s="307"/>
      <c r="CT254" s="307"/>
      <c r="CU254" s="307"/>
      <c r="CV254" s="307"/>
      <c r="CW254" s="307"/>
      <c r="CX254" s="307"/>
      <c r="CY254" s="307"/>
      <c r="CZ254" s="307"/>
      <c r="DA254" s="307"/>
      <c r="DB254" s="280"/>
      <c r="DC254" s="280"/>
      <c r="DD254" s="280"/>
      <c r="DE254" s="280"/>
      <c r="DF254" s="280"/>
      <c r="DG254" s="280"/>
      <c r="DH254" s="280"/>
      <c r="DI254" s="280"/>
      <c r="DJ254" s="280"/>
      <c r="DK254" s="280"/>
      <c r="DL254" s="280"/>
      <c r="DM254" s="280"/>
      <c r="DN254" s="280"/>
      <c r="DO254" s="280"/>
      <c r="DP254" s="280"/>
      <c r="DQ254" s="280"/>
      <c r="DR254" s="280"/>
      <c r="DS254" s="280"/>
      <c r="DT254" s="280"/>
      <c r="DU254" s="280"/>
      <c r="DV254" s="280"/>
      <c r="DW254" s="280"/>
      <c r="DX254" s="280"/>
      <c r="DY254" s="280"/>
      <c r="DZ254" s="280"/>
      <c r="EA254" s="280"/>
      <c r="EB254" s="280"/>
      <c r="EC254" s="280"/>
      <c r="ED254" s="280"/>
      <c r="EE254" s="280"/>
      <c r="EF254" s="280"/>
      <c r="EG254" s="280"/>
      <c r="EH254" s="280"/>
      <c r="EI254" s="280"/>
      <c r="EJ254" s="280"/>
      <c r="EK254" s="280"/>
      <c r="EL254" s="280"/>
      <c r="EM254" s="280"/>
      <c r="EN254" s="280"/>
      <c r="EO254" s="280"/>
      <c r="EP254" s="521"/>
      <c r="EQ254" s="521"/>
      <c r="ER254" s="521"/>
      <c r="ES254" s="521"/>
      <c r="ET254" s="521"/>
      <c r="EU254" s="521"/>
      <c r="EV254" s="521"/>
      <c r="EW254" s="521"/>
      <c r="EX254" s="521"/>
      <c r="EY254" s="521"/>
      <c r="EZ254" s="521"/>
      <c r="FA254" s="521"/>
      <c r="FB254" s="521"/>
      <c r="FC254" s="521"/>
      <c r="FD254" s="521"/>
      <c r="FE254" s="521"/>
      <c r="FF254" s="521"/>
      <c r="FG254" s="521"/>
      <c r="FH254" s="567"/>
      <c r="FI254" s="567"/>
      <c r="FJ254" s="567"/>
      <c r="FK254" s="567"/>
      <c r="FL254" s="567"/>
      <c r="FM254" s="567"/>
      <c r="FN254" s="567"/>
      <c r="FO254" s="567"/>
    </row>
    <row r="255" spans="1:171" s="568" customFormat="1" ht="13.9" customHeight="1">
      <c r="A255" s="566"/>
      <c r="B255" s="566"/>
      <c r="C255" s="566"/>
      <c r="D255" s="569"/>
      <c r="E255" s="570"/>
      <c r="F255" s="571"/>
      <c r="G255" s="571"/>
      <c r="H255" s="571"/>
      <c r="I255" s="571"/>
      <c r="J255" s="571"/>
      <c r="K255" s="572"/>
      <c r="L255" s="569"/>
      <c r="M255" s="569"/>
      <c r="N255" s="569"/>
      <c r="O255" s="569"/>
      <c r="P255" s="566"/>
      <c r="Q255" s="566"/>
      <c r="R255" s="566"/>
      <c r="S255" s="566"/>
      <c r="T255" s="566"/>
      <c r="U255" s="566"/>
      <c r="V255" s="566"/>
      <c r="W255" s="566"/>
      <c r="X255" s="553"/>
      <c r="Y255" s="553"/>
      <c r="Z255" s="553"/>
      <c r="AA255" s="554"/>
      <c r="AB255" s="550"/>
      <c r="AC255" s="550"/>
      <c r="AD255" s="550"/>
      <c r="AE255" s="307"/>
      <c r="AF255" s="307"/>
      <c r="AG255" s="307"/>
      <c r="AH255" s="307"/>
      <c r="AI255" s="307"/>
      <c r="AJ255" s="307"/>
      <c r="AK255" s="307"/>
      <c r="AL255" s="307"/>
      <c r="AM255" s="307"/>
      <c r="AN255" s="307"/>
      <c r="AO255" s="307"/>
      <c r="AP255" s="307"/>
      <c r="AQ255" s="307"/>
      <c r="AR255" s="307"/>
      <c r="AS255" s="307"/>
      <c r="AT255" s="307"/>
      <c r="AU255" s="307"/>
      <c r="AV255" s="307"/>
      <c r="AW255" s="307"/>
      <c r="AX255" s="307"/>
      <c r="AY255" s="307"/>
      <c r="AZ255" s="307"/>
      <c r="BA255" s="307"/>
      <c r="BB255" s="307"/>
      <c r="BC255" s="307"/>
      <c r="BD255" s="307"/>
      <c r="BE255" s="307"/>
      <c r="BF255" s="307"/>
      <c r="BG255" s="307"/>
      <c r="BH255" s="307"/>
      <c r="BI255" s="307"/>
      <c r="BJ255" s="307"/>
      <c r="BK255" s="307"/>
      <c r="BL255" s="307"/>
      <c r="BM255" s="307"/>
      <c r="BN255" s="307"/>
      <c r="BO255" s="307"/>
      <c r="BP255" s="307"/>
      <c r="BQ255" s="307"/>
      <c r="BR255" s="307"/>
      <c r="BS255" s="307"/>
      <c r="BT255" s="307"/>
      <c r="BU255" s="307"/>
      <c r="BV255" s="307"/>
      <c r="BW255" s="307"/>
      <c r="BX255" s="307"/>
      <c r="BY255" s="307"/>
      <c r="BZ255" s="307"/>
      <c r="CA255" s="307"/>
      <c r="CB255" s="307"/>
      <c r="CC255" s="307"/>
      <c r="CD255" s="307"/>
      <c r="CE255" s="307"/>
      <c r="CF255" s="307"/>
      <c r="CG255" s="307"/>
      <c r="CH255" s="307"/>
      <c r="CI255" s="307"/>
      <c r="CJ255" s="307"/>
      <c r="CK255" s="307"/>
      <c r="CL255" s="307"/>
      <c r="CM255" s="307"/>
      <c r="CN255" s="307"/>
      <c r="CO255" s="307"/>
      <c r="CP255" s="307"/>
      <c r="CQ255" s="307"/>
      <c r="CR255" s="307"/>
      <c r="CS255" s="307"/>
      <c r="CT255" s="307"/>
      <c r="CU255" s="307"/>
      <c r="CV255" s="307"/>
      <c r="CW255" s="307"/>
      <c r="CX255" s="307"/>
      <c r="CY255" s="307"/>
      <c r="CZ255" s="307"/>
      <c r="DA255" s="307"/>
      <c r="DB255" s="280"/>
      <c r="DC255" s="280"/>
      <c r="DD255" s="280"/>
      <c r="DE255" s="280"/>
      <c r="DF255" s="280"/>
      <c r="DG255" s="280"/>
      <c r="DH255" s="280"/>
      <c r="DI255" s="280"/>
      <c r="DJ255" s="280"/>
      <c r="DK255" s="280"/>
      <c r="DL255" s="280"/>
      <c r="DM255" s="280"/>
      <c r="DN255" s="280"/>
      <c r="DO255" s="280"/>
      <c r="DP255" s="280"/>
      <c r="DQ255" s="280"/>
      <c r="DR255" s="280"/>
      <c r="DS255" s="280"/>
      <c r="DT255" s="280"/>
      <c r="DU255" s="280"/>
      <c r="DV255" s="280"/>
      <c r="DW255" s="280"/>
      <c r="DX255" s="280"/>
      <c r="DY255" s="280"/>
      <c r="DZ255" s="280"/>
      <c r="EA255" s="280"/>
      <c r="EB255" s="280"/>
      <c r="EC255" s="280"/>
      <c r="ED255" s="280"/>
      <c r="EE255" s="280"/>
      <c r="EF255" s="280"/>
      <c r="EG255" s="280"/>
      <c r="EH255" s="280"/>
      <c r="EI255" s="280"/>
      <c r="EJ255" s="280"/>
      <c r="EK255" s="280"/>
      <c r="EL255" s="280"/>
      <c r="EM255" s="280"/>
      <c r="EN255" s="280"/>
      <c r="EO255" s="280"/>
      <c r="EP255" s="521"/>
      <c r="EQ255" s="521"/>
      <c r="ER255" s="521"/>
      <c r="ES255" s="521"/>
      <c r="ET255" s="521"/>
      <c r="EU255" s="521"/>
      <c r="EV255" s="521"/>
      <c r="EW255" s="521"/>
      <c r="EX255" s="521"/>
      <c r="EY255" s="521"/>
      <c r="EZ255" s="521"/>
      <c r="FA255" s="521"/>
      <c r="FB255" s="521"/>
      <c r="FC255" s="521"/>
      <c r="FD255" s="521"/>
      <c r="FE255" s="521"/>
      <c r="FF255" s="521"/>
      <c r="FG255" s="521"/>
      <c r="FH255" s="567"/>
      <c r="FI255" s="567"/>
      <c r="FJ255" s="567"/>
      <c r="FK255" s="567"/>
      <c r="FL255" s="567"/>
      <c r="FM255" s="567"/>
      <c r="FN255" s="567"/>
      <c r="FO255" s="567"/>
    </row>
    <row r="256" spans="1:171" s="568" customFormat="1" ht="13.9" customHeight="1">
      <c r="A256" s="566"/>
      <c r="B256" s="566"/>
      <c r="C256" s="566"/>
      <c r="D256" s="569"/>
      <c r="E256" s="570"/>
      <c r="F256" s="571"/>
      <c r="G256" s="571"/>
      <c r="H256" s="571"/>
      <c r="I256" s="571"/>
      <c r="J256" s="571"/>
      <c r="K256" s="572"/>
      <c r="L256" s="569"/>
      <c r="M256" s="569"/>
      <c r="N256" s="569"/>
      <c r="O256" s="569"/>
      <c r="P256" s="566"/>
      <c r="Q256" s="566"/>
      <c r="R256" s="566"/>
      <c r="S256" s="566"/>
      <c r="T256" s="566"/>
      <c r="U256" s="566"/>
      <c r="V256" s="566"/>
      <c r="W256" s="566"/>
      <c r="X256" s="553"/>
      <c r="Y256" s="553"/>
      <c r="Z256" s="553"/>
      <c r="AA256" s="554"/>
      <c r="AB256" s="550"/>
      <c r="AC256" s="550"/>
      <c r="AD256" s="550"/>
      <c r="AE256" s="307"/>
      <c r="AF256" s="307"/>
      <c r="AG256" s="307"/>
      <c r="AH256" s="307"/>
      <c r="AI256" s="307"/>
      <c r="AJ256" s="307"/>
      <c r="AK256" s="307"/>
      <c r="AL256" s="307"/>
      <c r="AM256" s="307"/>
      <c r="AN256" s="307"/>
      <c r="AO256" s="307"/>
      <c r="AP256" s="307"/>
      <c r="AQ256" s="307"/>
      <c r="AR256" s="307"/>
      <c r="AS256" s="307"/>
      <c r="AT256" s="307"/>
      <c r="AU256" s="307"/>
      <c r="AV256" s="307"/>
      <c r="AW256" s="307"/>
      <c r="AX256" s="307"/>
      <c r="AY256" s="307"/>
      <c r="AZ256" s="307"/>
      <c r="BA256" s="307"/>
      <c r="BB256" s="307"/>
      <c r="BC256" s="307"/>
      <c r="BD256" s="307"/>
      <c r="BE256" s="307"/>
      <c r="BF256" s="307"/>
      <c r="BG256" s="307"/>
      <c r="BH256" s="307"/>
      <c r="BI256" s="307"/>
      <c r="BJ256" s="307"/>
      <c r="BK256" s="307"/>
      <c r="BL256" s="307"/>
      <c r="BM256" s="307"/>
      <c r="BN256" s="307"/>
      <c r="BO256" s="307"/>
      <c r="BP256" s="307"/>
      <c r="BQ256" s="307"/>
      <c r="BR256" s="307"/>
      <c r="BS256" s="307"/>
      <c r="BT256" s="307"/>
      <c r="BU256" s="307"/>
      <c r="BV256" s="307"/>
      <c r="BW256" s="307"/>
      <c r="BX256" s="307"/>
      <c r="BY256" s="307"/>
      <c r="BZ256" s="307"/>
      <c r="CA256" s="307"/>
      <c r="CB256" s="307"/>
      <c r="CC256" s="307"/>
      <c r="CD256" s="307"/>
      <c r="CE256" s="307"/>
      <c r="CF256" s="307"/>
      <c r="CG256" s="307"/>
      <c r="CH256" s="307"/>
      <c r="CI256" s="307"/>
      <c r="CJ256" s="307"/>
      <c r="CK256" s="307"/>
      <c r="CL256" s="307"/>
      <c r="CM256" s="307"/>
      <c r="CN256" s="307"/>
      <c r="CO256" s="307"/>
      <c r="CP256" s="307"/>
      <c r="CQ256" s="307"/>
      <c r="CR256" s="307"/>
      <c r="CS256" s="307"/>
      <c r="CT256" s="307"/>
      <c r="CU256" s="307"/>
      <c r="CV256" s="307"/>
      <c r="CW256" s="307"/>
      <c r="CX256" s="307"/>
      <c r="CY256" s="307"/>
      <c r="CZ256" s="307"/>
      <c r="DA256" s="307"/>
      <c r="DB256" s="280"/>
      <c r="DC256" s="280"/>
      <c r="DD256" s="280"/>
      <c r="DE256" s="280"/>
      <c r="DF256" s="280"/>
      <c r="DG256" s="280"/>
      <c r="DH256" s="280"/>
      <c r="DI256" s="280"/>
      <c r="DJ256" s="280"/>
      <c r="DK256" s="280"/>
      <c r="DL256" s="280"/>
      <c r="DM256" s="280"/>
      <c r="DN256" s="280"/>
      <c r="DO256" s="280"/>
      <c r="DP256" s="280"/>
      <c r="DQ256" s="280"/>
      <c r="DR256" s="280"/>
      <c r="DS256" s="280"/>
      <c r="DT256" s="280"/>
      <c r="DU256" s="280"/>
      <c r="DV256" s="280"/>
      <c r="DW256" s="280"/>
      <c r="DX256" s="280"/>
      <c r="DY256" s="280"/>
      <c r="DZ256" s="280"/>
      <c r="EA256" s="280"/>
      <c r="EB256" s="280"/>
      <c r="EC256" s="280"/>
      <c r="ED256" s="280"/>
      <c r="EE256" s="280"/>
      <c r="EF256" s="280"/>
      <c r="EG256" s="280"/>
      <c r="EH256" s="280"/>
      <c r="EI256" s="280"/>
      <c r="EJ256" s="280"/>
      <c r="EK256" s="280"/>
      <c r="EL256" s="280"/>
      <c r="EM256" s="280"/>
      <c r="EN256" s="280"/>
      <c r="EO256" s="280"/>
      <c r="EP256" s="521"/>
      <c r="EQ256" s="521"/>
      <c r="ER256" s="521"/>
      <c r="ES256" s="521"/>
      <c r="ET256" s="521"/>
      <c r="EU256" s="521"/>
      <c r="EV256" s="521"/>
      <c r="EW256" s="521"/>
      <c r="EX256" s="521"/>
      <c r="EY256" s="521"/>
      <c r="EZ256" s="521"/>
      <c r="FA256" s="521"/>
      <c r="FB256" s="521"/>
      <c r="FC256" s="521"/>
      <c r="FD256" s="521"/>
      <c r="FE256" s="521"/>
      <c r="FF256" s="521"/>
      <c r="FG256" s="521"/>
      <c r="FH256" s="567"/>
      <c r="FI256" s="567"/>
      <c r="FJ256" s="567"/>
      <c r="FK256" s="567"/>
      <c r="FL256" s="567"/>
      <c r="FM256" s="567"/>
      <c r="FN256" s="567"/>
      <c r="FO256" s="567"/>
    </row>
    <row r="257" spans="1:171" s="568" customFormat="1" ht="13.9" customHeight="1">
      <c r="A257" s="566"/>
      <c r="B257" s="566"/>
      <c r="C257" s="566"/>
      <c r="D257" s="569"/>
      <c r="E257" s="570"/>
      <c r="F257" s="571"/>
      <c r="G257" s="571"/>
      <c r="H257" s="571"/>
      <c r="I257" s="571"/>
      <c r="J257" s="571"/>
      <c r="K257" s="572"/>
      <c r="L257" s="569"/>
      <c r="M257" s="569"/>
      <c r="N257" s="569"/>
      <c r="O257" s="569"/>
      <c r="P257" s="566"/>
      <c r="Q257" s="566"/>
      <c r="R257" s="566"/>
      <c r="S257" s="566"/>
      <c r="T257" s="566"/>
      <c r="U257" s="566"/>
      <c r="V257" s="566"/>
      <c r="W257" s="566"/>
      <c r="X257" s="553"/>
      <c r="Y257" s="553"/>
      <c r="Z257" s="553"/>
      <c r="AA257" s="554"/>
      <c r="AB257" s="550"/>
      <c r="AC257" s="550"/>
      <c r="AD257" s="550"/>
      <c r="AE257" s="307"/>
      <c r="AF257" s="307"/>
      <c r="AG257" s="307"/>
      <c r="AH257" s="307"/>
      <c r="AI257" s="307"/>
      <c r="AJ257" s="307"/>
      <c r="AK257" s="307"/>
      <c r="AL257" s="307"/>
      <c r="AM257" s="307"/>
      <c r="AN257" s="307"/>
      <c r="AO257" s="307"/>
      <c r="AP257" s="307"/>
      <c r="AQ257" s="307"/>
      <c r="AR257" s="307"/>
      <c r="AS257" s="307"/>
      <c r="AT257" s="307"/>
      <c r="AU257" s="307"/>
      <c r="AV257" s="307"/>
      <c r="AW257" s="307"/>
      <c r="AX257" s="307"/>
      <c r="AY257" s="307"/>
      <c r="AZ257" s="307"/>
      <c r="BA257" s="307"/>
      <c r="BB257" s="307"/>
      <c r="BC257" s="307"/>
      <c r="BD257" s="307"/>
      <c r="BE257" s="307"/>
      <c r="BF257" s="307"/>
      <c r="BG257" s="307"/>
      <c r="BH257" s="307"/>
      <c r="BI257" s="307"/>
      <c r="BJ257" s="307"/>
      <c r="BK257" s="307"/>
      <c r="BL257" s="307"/>
      <c r="BM257" s="307"/>
      <c r="BN257" s="307"/>
      <c r="BO257" s="307"/>
      <c r="BP257" s="307"/>
      <c r="BQ257" s="307"/>
      <c r="BR257" s="307"/>
      <c r="BS257" s="307"/>
      <c r="BT257" s="307"/>
      <c r="BU257" s="307"/>
      <c r="BV257" s="307"/>
      <c r="BW257" s="307"/>
      <c r="BX257" s="307"/>
      <c r="BY257" s="307"/>
      <c r="BZ257" s="307"/>
      <c r="CA257" s="307"/>
      <c r="CB257" s="307"/>
      <c r="CC257" s="307"/>
      <c r="CD257" s="307"/>
      <c r="CE257" s="307"/>
      <c r="CF257" s="307"/>
      <c r="CG257" s="307"/>
      <c r="CH257" s="307"/>
      <c r="CI257" s="307"/>
      <c r="CJ257" s="307"/>
      <c r="CK257" s="307"/>
      <c r="CL257" s="307"/>
      <c r="CM257" s="307"/>
      <c r="CN257" s="307"/>
      <c r="CO257" s="307"/>
      <c r="CP257" s="307"/>
      <c r="CQ257" s="307"/>
      <c r="CR257" s="307"/>
      <c r="CS257" s="307"/>
      <c r="CT257" s="307"/>
      <c r="CU257" s="307"/>
      <c r="CV257" s="307"/>
      <c r="CW257" s="307"/>
      <c r="CX257" s="307"/>
      <c r="CY257" s="307"/>
      <c r="CZ257" s="307"/>
      <c r="DA257" s="307"/>
      <c r="DB257" s="280"/>
      <c r="DC257" s="280"/>
      <c r="DD257" s="280"/>
      <c r="DE257" s="280"/>
      <c r="DF257" s="280"/>
      <c r="DG257" s="280"/>
      <c r="DH257" s="280"/>
      <c r="DI257" s="280"/>
      <c r="DJ257" s="280"/>
      <c r="DK257" s="280"/>
      <c r="DL257" s="280"/>
      <c r="DM257" s="280"/>
      <c r="DN257" s="280"/>
      <c r="DO257" s="280"/>
      <c r="DP257" s="280"/>
      <c r="DQ257" s="280"/>
      <c r="DR257" s="280"/>
      <c r="DS257" s="280"/>
      <c r="DT257" s="280"/>
      <c r="DU257" s="280"/>
      <c r="DV257" s="280"/>
      <c r="DW257" s="280"/>
      <c r="DX257" s="280"/>
      <c r="DY257" s="280"/>
      <c r="DZ257" s="280"/>
      <c r="EA257" s="280"/>
      <c r="EB257" s="280"/>
      <c r="EC257" s="280"/>
      <c r="ED257" s="280"/>
      <c r="EE257" s="280"/>
      <c r="EF257" s="280"/>
      <c r="EG257" s="280"/>
      <c r="EH257" s="280"/>
      <c r="EI257" s="280"/>
      <c r="EJ257" s="280"/>
      <c r="EK257" s="280"/>
      <c r="EL257" s="280"/>
      <c r="EM257" s="280"/>
      <c r="EN257" s="280"/>
      <c r="EO257" s="280"/>
      <c r="EP257" s="521"/>
      <c r="EQ257" s="521"/>
      <c r="ER257" s="521"/>
      <c r="ES257" s="521"/>
      <c r="ET257" s="521"/>
      <c r="EU257" s="521"/>
      <c r="EV257" s="521"/>
      <c r="EW257" s="521"/>
      <c r="EX257" s="521"/>
      <c r="EY257" s="521"/>
      <c r="EZ257" s="521"/>
      <c r="FA257" s="521"/>
      <c r="FB257" s="521"/>
      <c r="FC257" s="521"/>
      <c r="FD257" s="521"/>
      <c r="FE257" s="521"/>
      <c r="FF257" s="521"/>
      <c r="FG257" s="521"/>
      <c r="FH257" s="567"/>
      <c r="FI257" s="567"/>
      <c r="FJ257" s="567"/>
      <c r="FK257" s="567"/>
      <c r="FL257" s="567"/>
      <c r="FM257" s="567"/>
      <c r="FN257" s="567"/>
      <c r="FO257" s="567"/>
    </row>
    <row r="258" spans="1:171" s="568" customFormat="1" ht="13.9" customHeight="1">
      <c r="A258" s="566"/>
      <c r="B258" s="566"/>
      <c r="C258" s="566"/>
      <c r="D258" s="569"/>
      <c r="E258" s="570"/>
      <c r="F258" s="571"/>
      <c r="G258" s="571"/>
      <c r="H258" s="571"/>
      <c r="I258" s="571"/>
      <c r="J258" s="571"/>
      <c r="K258" s="572"/>
      <c r="L258" s="569"/>
      <c r="M258" s="569"/>
      <c r="N258" s="569"/>
      <c r="O258" s="569"/>
      <c r="P258" s="566"/>
      <c r="Q258" s="566"/>
      <c r="R258" s="566"/>
      <c r="S258" s="566"/>
      <c r="T258" s="566"/>
      <c r="U258" s="566"/>
      <c r="V258" s="566"/>
      <c r="W258" s="566"/>
      <c r="X258" s="553"/>
      <c r="Y258" s="553"/>
      <c r="Z258" s="553"/>
      <c r="AA258" s="554"/>
      <c r="AB258" s="550"/>
      <c r="AC258" s="550"/>
      <c r="AD258" s="550"/>
      <c r="AE258" s="307"/>
      <c r="AF258" s="307"/>
      <c r="AG258" s="307"/>
      <c r="AH258" s="307"/>
      <c r="AI258" s="307"/>
      <c r="AJ258" s="307"/>
      <c r="AK258" s="307"/>
      <c r="AL258" s="307"/>
      <c r="AM258" s="307"/>
      <c r="AN258" s="307"/>
      <c r="AO258" s="307"/>
      <c r="AP258" s="307"/>
      <c r="AQ258" s="307"/>
      <c r="AR258" s="307"/>
      <c r="AS258" s="307"/>
      <c r="AT258" s="307"/>
      <c r="AU258" s="307"/>
      <c r="AV258" s="307"/>
      <c r="AW258" s="307"/>
      <c r="AX258" s="307"/>
      <c r="AY258" s="307"/>
      <c r="AZ258" s="307"/>
      <c r="BA258" s="307"/>
      <c r="BB258" s="307"/>
      <c r="BC258" s="307"/>
      <c r="BD258" s="307"/>
      <c r="BE258" s="307"/>
      <c r="BF258" s="307"/>
      <c r="BG258" s="307"/>
      <c r="BH258" s="307"/>
      <c r="BI258" s="307"/>
      <c r="BJ258" s="307"/>
      <c r="BK258" s="307"/>
      <c r="BL258" s="307"/>
      <c r="BM258" s="307"/>
      <c r="BN258" s="307"/>
      <c r="BO258" s="307"/>
      <c r="BP258" s="307"/>
      <c r="BQ258" s="307"/>
      <c r="BR258" s="307"/>
      <c r="BS258" s="307"/>
      <c r="BT258" s="307"/>
      <c r="BU258" s="307"/>
      <c r="BV258" s="307"/>
      <c r="BW258" s="307"/>
      <c r="BX258" s="307"/>
      <c r="BY258" s="307"/>
      <c r="BZ258" s="307"/>
      <c r="CA258" s="307"/>
      <c r="CB258" s="307"/>
      <c r="CC258" s="307"/>
      <c r="CD258" s="307"/>
      <c r="CE258" s="307"/>
      <c r="CF258" s="307"/>
      <c r="CG258" s="307"/>
      <c r="CH258" s="307"/>
      <c r="CI258" s="307"/>
      <c r="CJ258" s="307"/>
      <c r="CK258" s="307"/>
      <c r="CL258" s="307"/>
      <c r="CM258" s="307"/>
      <c r="CN258" s="307"/>
      <c r="CO258" s="307"/>
      <c r="CP258" s="307"/>
      <c r="CQ258" s="307"/>
      <c r="CR258" s="307"/>
      <c r="CS258" s="307"/>
      <c r="CT258" s="307"/>
      <c r="CU258" s="307"/>
      <c r="CV258" s="307"/>
      <c r="CW258" s="307"/>
      <c r="CX258" s="307"/>
      <c r="CY258" s="307"/>
      <c r="CZ258" s="307"/>
      <c r="DA258" s="307"/>
      <c r="DB258" s="280"/>
      <c r="DC258" s="280"/>
      <c r="DD258" s="280"/>
      <c r="DE258" s="280"/>
      <c r="DF258" s="280"/>
      <c r="DG258" s="280"/>
      <c r="DH258" s="280"/>
      <c r="DI258" s="280"/>
      <c r="DJ258" s="280"/>
      <c r="DK258" s="280"/>
      <c r="DL258" s="280"/>
      <c r="DM258" s="280"/>
      <c r="DN258" s="280"/>
      <c r="DO258" s="280"/>
      <c r="DP258" s="280"/>
      <c r="DQ258" s="280"/>
      <c r="DR258" s="280"/>
      <c r="DS258" s="280"/>
      <c r="DT258" s="280"/>
      <c r="DU258" s="280"/>
      <c r="DV258" s="280"/>
      <c r="DW258" s="280"/>
      <c r="DX258" s="280"/>
      <c r="DY258" s="280"/>
      <c r="DZ258" s="280"/>
      <c r="EA258" s="280"/>
      <c r="EB258" s="280"/>
      <c r="EC258" s="280"/>
      <c r="ED258" s="280"/>
      <c r="EE258" s="280"/>
      <c r="EF258" s="280"/>
      <c r="EG258" s="280"/>
      <c r="EH258" s="280"/>
      <c r="EI258" s="280"/>
      <c r="EJ258" s="280"/>
      <c r="EK258" s="280"/>
      <c r="EL258" s="280"/>
      <c r="EM258" s="280"/>
      <c r="EN258" s="280"/>
      <c r="EO258" s="280"/>
      <c r="EP258" s="521"/>
      <c r="EQ258" s="521"/>
      <c r="ER258" s="521"/>
      <c r="ES258" s="521"/>
      <c r="ET258" s="521"/>
      <c r="EU258" s="521"/>
      <c r="EV258" s="521"/>
      <c r="EW258" s="521"/>
      <c r="EX258" s="521"/>
      <c r="EY258" s="521"/>
      <c r="EZ258" s="521"/>
      <c r="FA258" s="521"/>
      <c r="FB258" s="521"/>
      <c r="FC258" s="521"/>
      <c r="FD258" s="521"/>
      <c r="FE258" s="521"/>
      <c r="FF258" s="521"/>
      <c r="FG258" s="521"/>
      <c r="FH258" s="567"/>
      <c r="FI258" s="567"/>
      <c r="FJ258" s="567"/>
      <c r="FK258" s="567"/>
      <c r="FL258" s="567"/>
      <c r="FM258" s="567"/>
      <c r="FN258" s="567"/>
      <c r="FO258" s="567"/>
    </row>
    <row r="259" spans="1:171" s="568" customFormat="1" ht="13.9" customHeight="1">
      <c r="A259" s="566"/>
      <c r="B259" s="566"/>
      <c r="C259" s="566"/>
      <c r="D259" s="569"/>
      <c r="E259" s="570"/>
      <c r="F259" s="571"/>
      <c r="G259" s="571"/>
      <c r="H259" s="571"/>
      <c r="I259" s="571"/>
      <c r="J259" s="571"/>
      <c r="K259" s="572"/>
      <c r="L259" s="569"/>
      <c r="M259" s="569"/>
      <c r="N259" s="569"/>
      <c r="O259" s="569"/>
      <c r="P259" s="566"/>
      <c r="Q259" s="566"/>
      <c r="R259" s="566"/>
      <c r="S259" s="566"/>
      <c r="T259" s="566"/>
      <c r="U259" s="566"/>
      <c r="V259" s="566"/>
      <c r="W259" s="566"/>
      <c r="X259" s="553"/>
      <c r="Y259" s="553"/>
      <c r="Z259" s="553"/>
      <c r="AA259" s="554"/>
      <c r="AB259" s="550"/>
      <c r="AC259" s="550"/>
      <c r="AD259" s="550"/>
      <c r="AE259" s="307"/>
      <c r="AF259" s="307"/>
      <c r="AG259" s="307"/>
      <c r="AH259" s="307"/>
      <c r="AI259" s="307"/>
      <c r="AJ259" s="307"/>
      <c r="AK259" s="307"/>
      <c r="AL259" s="307"/>
      <c r="AM259" s="307"/>
      <c r="AN259" s="307"/>
      <c r="AO259" s="307"/>
      <c r="AP259" s="307"/>
      <c r="AQ259" s="307"/>
      <c r="AR259" s="307"/>
      <c r="AS259" s="307"/>
      <c r="AT259" s="307"/>
      <c r="AU259" s="307"/>
      <c r="AV259" s="307"/>
      <c r="AW259" s="307"/>
      <c r="AX259" s="307"/>
      <c r="AY259" s="307"/>
      <c r="AZ259" s="307"/>
      <c r="BA259" s="307"/>
      <c r="BB259" s="307"/>
      <c r="BC259" s="307"/>
      <c r="BD259" s="307"/>
      <c r="BE259" s="307"/>
      <c r="BF259" s="307"/>
      <c r="BG259" s="307"/>
      <c r="BH259" s="307"/>
      <c r="BI259" s="307"/>
      <c r="BJ259" s="307"/>
      <c r="BK259" s="307"/>
      <c r="BL259" s="307"/>
      <c r="BM259" s="307"/>
      <c r="BN259" s="307"/>
      <c r="BO259" s="307"/>
      <c r="BP259" s="307"/>
      <c r="BQ259" s="307"/>
      <c r="BR259" s="307"/>
      <c r="BS259" s="307"/>
      <c r="BT259" s="307"/>
      <c r="BU259" s="307"/>
      <c r="BV259" s="307"/>
      <c r="BW259" s="307"/>
      <c r="BX259" s="307"/>
      <c r="BY259" s="307"/>
      <c r="BZ259" s="307"/>
      <c r="CA259" s="307"/>
      <c r="CB259" s="307"/>
      <c r="CC259" s="307"/>
      <c r="CD259" s="307"/>
      <c r="CE259" s="307"/>
      <c r="CF259" s="307"/>
      <c r="CG259" s="307"/>
      <c r="CH259" s="307"/>
      <c r="CI259" s="307"/>
      <c r="CJ259" s="307"/>
      <c r="CK259" s="307"/>
      <c r="CL259" s="307"/>
      <c r="CM259" s="307"/>
      <c r="CN259" s="307"/>
      <c r="CO259" s="307"/>
      <c r="CP259" s="307"/>
      <c r="CQ259" s="307"/>
      <c r="CR259" s="307"/>
      <c r="CS259" s="307"/>
      <c r="CT259" s="307"/>
      <c r="CU259" s="307"/>
      <c r="CV259" s="307"/>
      <c r="CW259" s="307"/>
      <c r="CX259" s="307"/>
      <c r="CY259" s="307"/>
      <c r="CZ259" s="307"/>
      <c r="DA259" s="307"/>
      <c r="DB259" s="280"/>
      <c r="DC259" s="280"/>
      <c r="DD259" s="280"/>
      <c r="DE259" s="280"/>
      <c r="DF259" s="280"/>
      <c r="DG259" s="280"/>
      <c r="DH259" s="280"/>
      <c r="DI259" s="280"/>
      <c r="DJ259" s="280"/>
      <c r="DK259" s="280"/>
      <c r="DL259" s="280"/>
      <c r="DM259" s="280"/>
      <c r="DN259" s="280"/>
      <c r="DO259" s="280"/>
      <c r="DP259" s="280"/>
      <c r="DQ259" s="280"/>
      <c r="DR259" s="280"/>
      <c r="DS259" s="280"/>
      <c r="DT259" s="280"/>
      <c r="DU259" s="280"/>
      <c r="DV259" s="280"/>
      <c r="DW259" s="280"/>
      <c r="DX259" s="280"/>
      <c r="DY259" s="280"/>
      <c r="DZ259" s="280"/>
      <c r="EA259" s="280"/>
      <c r="EB259" s="280"/>
      <c r="EC259" s="280"/>
      <c r="ED259" s="280"/>
      <c r="EE259" s="280"/>
      <c r="EF259" s="280"/>
      <c r="EG259" s="280"/>
      <c r="EH259" s="280"/>
      <c r="EI259" s="280"/>
      <c r="EJ259" s="280"/>
      <c r="EK259" s="280"/>
      <c r="EL259" s="280"/>
      <c r="EM259" s="280"/>
      <c r="EN259" s="280"/>
      <c r="EO259" s="280"/>
      <c r="EP259" s="521"/>
      <c r="EQ259" s="521"/>
      <c r="ER259" s="521"/>
      <c r="ES259" s="521"/>
      <c r="ET259" s="521"/>
      <c r="EU259" s="521"/>
      <c r="EV259" s="521"/>
      <c r="EW259" s="521"/>
      <c r="EX259" s="521"/>
      <c r="EY259" s="521"/>
      <c r="EZ259" s="521"/>
      <c r="FA259" s="521"/>
      <c r="FB259" s="521"/>
      <c r="FC259" s="521"/>
      <c r="FD259" s="521"/>
      <c r="FE259" s="521"/>
      <c r="FF259" s="521"/>
      <c r="FG259" s="521"/>
      <c r="FH259" s="567"/>
      <c r="FI259" s="567"/>
      <c r="FJ259" s="567"/>
      <c r="FK259" s="567"/>
      <c r="FL259" s="567"/>
      <c r="FM259" s="567"/>
      <c r="FN259" s="567"/>
      <c r="FO259" s="567"/>
    </row>
    <row r="260" spans="1:171" s="568" customFormat="1" ht="13.9" customHeight="1">
      <c r="A260" s="566"/>
      <c r="B260" s="566"/>
      <c r="C260" s="566"/>
      <c r="D260" s="569"/>
      <c r="E260" s="570"/>
      <c r="F260" s="571"/>
      <c r="G260" s="571"/>
      <c r="H260" s="571"/>
      <c r="I260" s="571"/>
      <c r="J260" s="571"/>
      <c r="K260" s="572"/>
      <c r="L260" s="569"/>
      <c r="M260" s="569"/>
      <c r="N260" s="569"/>
      <c r="O260" s="569"/>
      <c r="P260" s="566"/>
      <c r="Q260" s="566"/>
      <c r="R260" s="566"/>
      <c r="S260" s="566"/>
      <c r="T260" s="566"/>
      <c r="U260" s="566"/>
      <c r="V260" s="566"/>
      <c r="W260" s="566"/>
      <c r="X260" s="553"/>
      <c r="Y260" s="553"/>
      <c r="Z260" s="553"/>
      <c r="AA260" s="554"/>
      <c r="AB260" s="550"/>
      <c r="AC260" s="550"/>
      <c r="AD260" s="550"/>
      <c r="AE260" s="307"/>
      <c r="AF260" s="307"/>
      <c r="AG260" s="307"/>
      <c r="AH260" s="307"/>
      <c r="AI260" s="307"/>
      <c r="AJ260" s="307"/>
      <c r="AK260" s="307"/>
      <c r="AL260" s="307"/>
      <c r="AM260" s="307"/>
      <c r="AN260" s="307"/>
      <c r="AO260" s="307"/>
      <c r="AP260" s="307"/>
      <c r="AQ260" s="307"/>
      <c r="AR260" s="307"/>
      <c r="AS260" s="307"/>
      <c r="AT260" s="307"/>
      <c r="AU260" s="307"/>
      <c r="AV260" s="307"/>
      <c r="AW260" s="307"/>
      <c r="AX260" s="307"/>
      <c r="AY260" s="307"/>
      <c r="AZ260" s="307"/>
      <c r="BA260" s="307"/>
      <c r="BB260" s="307"/>
      <c r="BC260" s="307"/>
      <c r="BD260" s="307"/>
      <c r="BE260" s="307"/>
      <c r="BF260" s="307"/>
      <c r="BG260" s="307"/>
      <c r="BH260" s="307"/>
      <c r="BI260" s="307"/>
      <c r="BJ260" s="307"/>
      <c r="BK260" s="307"/>
      <c r="BL260" s="307"/>
      <c r="BM260" s="307"/>
      <c r="BN260" s="307"/>
      <c r="BO260" s="307"/>
      <c r="BP260" s="307"/>
      <c r="BQ260" s="307"/>
      <c r="BR260" s="307"/>
      <c r="BS260" s="307"/>
      <c r="BT260" s="307"/>
      <c r="BU260" s="307"/>
      <c r="BV260" s="307"/>
      <c r="BW260" s="307"/>
      <c r="BX260" s="307"/>
      <c r="BY260" s="307"/>
      <c r="BZ260" s="307"/>
      <c r="CA260" s="307"/>
      <c r="CB260" s="307"/>
      <c r="CC260" s="307"/>
      <c r="CD260" s="307"/>
      <c r="CE260" s="307"/>
      <c r="CF260" s="307"/>
      <c r="CG260" s="307"/>
      <c r="CH260" s="307"/>
      <c r="CI260" s="307"/>
      <c r="CJ260" s="307"/>
      <c r="CK260" s="307"/>
      <c r="CL260" s="307"/>
      <c r="CM260" s="307"/>
      <c r="CN260" s="307"/>
      <c r="CO260" s="307"/>
      <c r="CP260" s="307"/>
      <c r="CQ260" s="307"/>
      <c r="CR260" s="307"/>
      <c r="CS260" s="307"/>
      <c r="CT260" s="307"/>
      <c r="CU260" s="307"/>
      <c r="CV260" s="307"/>
      <c r="CW260" s="307"/>
      <c r="CX260" s="307"/>
      <c r="CY260" s="307"/>
      <c r="CZ260" s="307"/>
      <c r="DA260" s="307"/>
      <c r="DB260" s="280"/>
      <c r="DC260" s="280"/>
      <c r="DD260" s="280"/>
      <c r="DE260" s="280"/>
      <c r="DF260" s="280"/>
      <c r="DG260" s="280"/>
      <c r="DH260" s="280"/>
      <c r="DI260" s="280"/>
      <c r="DJ260" s="280"/>
      <c r="DK260" s="280"/>
      <c r="DL260" s="280"/>
      <c r="DM260" s="280"/>
      <c r="DN260" s="280"/>
      <c r="DO260" s="280"/>
      <c r="DP260" s="280"/>
      <c r="DQ260" s="280"/>
      <c r="DR260" s="280"/>
      <c r="DS260" s="280"/>
      <c r="DT260" s="280"/>
      <c r="DU260" s="280"/>
      <c r="DV260" s="280"/>
      <c r="DW260" s="280"/>
      <c r="DX260" s="280"/>
      <c r="DY260" s="280"/>
      <c r="DZ260" s="280"/>
      <c r="EA260" s="280"/>
      <c r="EB260" s="280"/>
      <c r="EC260" s="280"/>
      <c r="ED260" s="280"/>
      <c r="EE260" s="280"/>
      <c r="EF260" s="280"/>
      <c r="EG260" s="280"/>
      <c r="EH260" s="280"/>
      <c r="EI260" s="280"/>
      <c r="EJ260" s="280"/>
      <c r="EK260" s="280"/>
      <c r="EL260" s="280"/>
      <c r="EM260" s="280"/>
      <c r="EN260" s="280"/>
      <c r="EO260" s="280"/>
      <c r="EP260" s="521"/>
      <c r="EQ260" s="521"/>
      <c r="ER260" s="521"/>
      <c r="ES260" s="521"/>
      <c r="ET260" s="521"/>
      <c r="EU260" s="521"/>
      <c r="EV260" s="521"/>
      <c r="EW260" s="521"/>
      <c r="EX260" s="521"/>
      <c r="EY260" s="521"/>
      <c r="EZ260" s="521"/>
      <c r="FA260" s="521"/>
      <c r="FB260" s="521"/>
      <c r="FC260" s="521"/>
      <c r="FD260" s="521"/>
      <c r="FE260" s="521"/>
      <c r="FF260" s="521"/>
      <c r="FG260" s="521"/>
      <c r="FH260" s="567"/>
      <c r="FI260" s="567"/>
      <c r="FJ260" s="567"/>
      <c r="FK260" s="567"/>
      <c r="FL260" s="567"/>
      <c r="FM260" s="567"/>
      <c r="FN260" s="567"/>
      <c r="FO260" s="567"/>
    </row>
    <row r="261" spans="1:171" s="568" customFormat="1" ht="13.9" customHeight="1">
      <c r="A261" s="566"/>
      <c r="B261" s="566"/>
      <c r="C261" s="566"/>
      <c r="D261" s="569"/>
      <c r="E261" s="570"/>
      <c r="F261" s="571"/>
      <c r="G261" s="571"/>
      <c r="H261" s="571"/>
      <c r="I261" s="571"/>
      <c r="J261" s="571"/>
      <c r="K261" s="572"/>
      <c r="L261" s="569"/>
      <c r="M261" s="569"/>
      <c r="N261" s="569"/>
      <c r="O261" s="569"/>
      <c r="P261" s="566"/>
      <c r="Q261" s="566"/>
      <c r="R261" s="566"/>
      <c r="S261" s="566"/>
      <c r="T261" s="566"/>
      <c r="U261" s="566"/>
      <c r="V261" s="566"/>
      <c r="W261" s="566"/>
      <c r="X261" s="553"/>
      <c r="Y261" s="553"/>
      <c r="Z261" s="553"/>
      <c r="AA261" s="554"/>
      <c r="AB261" s="550"/>
      <c r="AC261" s="550"/>
      <c r="AD261" s="550"/>
      <c r="AE261" s="307"/>
      <c r="AF261" s="307"/>
      <c r="AG261" s="307"/>
      <c r="AH261" s="307"/>
      <c r="AI261" s="307"/>
      <c r="AJ261" s="307"/>
      <c r="AK261" s="307"/>
      <c r="AL261" s="307"/>
      <c r="AM261" s="307"/>
      <c r="AN261" s="307"/>
      <c r="AO261" s="307"/>
      <c r="AP261" s="307"/>
      <c r="AQ261" s="307"/>
      <c r="AR261" s="307"/>
      <c r="AS261" s="307"/>
      <c r="AT261" s="307"/>
      <c r="AU261" s="307"/>
      <c r="AV261" s="307"/>
      <c r="AW261" s="307"/>
      <c r="AX261" s="307"/>
      <c r="AY261" s="307"/>
      <c r="AZ261" s="307"/>
      <c r="BA261" s="307"/>
      <c r="BB261" s="307"/>
      <c r="BC261" s="307"/>
      <c r="BD261" s="307"/>
      <c r="BE261" s="307"/>
      <c r="BF261" s="307"/>
      <c r="BG261" s="307"/>
      <c r="BH261" s="307"/>
      <c r="BI261" s="307"/>
      <c r="BJ261" s="307"/>
      <c r="BK261" s="307"/>
      <c r="BL261" s="307"/>
      <c r="BM261" s="307"/>
      <c r="BN261" s="307"/>
      <c r="BO261" s="307"/>
      <c r="BP261" s="307"/>
      <c r="BQ261" s="307"/>
      <c r="BR261" s="307"/>
      <c r="BS261" s="307"/>
      <c r="BT261" s="307"/>
      <c r="BU261" s="307"/>
      <c r="BV261" s="307"/>
      <c r="BW261" s="307"/>
      <c r="BX261" s="307"/>
      <c r="BY261" s="307"/>
      <c r="BZ261" s="307"/>
      <c r="CA261" s="307"/>
      <c r="CB261" s="307"/>
      <c r="CC261" s="307"/>
      <c r="CD261" s="307"/>
      <c r="CE261" s="307"/>
      <c r="CF261" s="307"/>
      <c r="CG261" s="307"/>
      <c r="CH261" s="307"/>
      <c r="CI261" s="307"/>
      <c r="CJ261" s="307"/>
      <c r="CK261" s="307"/>
      <c r="CL261" s="307"/>
      <c r="CM261" s="307"/>
      <c r="CN261" s="307"/>
      <c r="CO261" s="307"/>
      <c r="CP261" s="307"/>
      <c r="CQ261" s="307"/>
      <c r="CR261" s="307"/>
      <c r="CS261" s="307"/>
      <c r="CT261" s="307"/>
      <c r="CU261" s="307"/>
      <c r="CV261" s="307"/>
      <c r="CW261" s="307"/>
      <c r="CX261" s="307"/>
      <c r="CY261" s="307"/>
      <c r="CZ261" s="307"/>
      <c r="DA261" s="307"/>
      <c r="DB261" s="280"/>
      <c r="DC261" s="280"/>
      <c r="DD261" s="280"/>
      <c r="DE261" s="280"/>
      <c r="DF261" s="280"/>
      <c r="DG261" s="280"/>
      <c r="DH261" s="280"/>
      <c r="DI261" s="280"/>
      <c r="DJ261" s="280"/>
      <c r="DK261" s="280"/>
      <c r="DL261" s="280"/>
      <c r="DM261" s="280"/>
      <c r="DN261" s="280"/>
      <c r="DO261" s="280"/>
      <c r="DP261" s="280"/>
      <c r="DQ261" s="280"/>
      <c r="DR261" s="280"/>
      <c r="DS261" s="280"/>
      <c r="DT261" s="280"/>
      <c r="DU261" s="280"/>
      <c r="DV261" s="280"/>
      <c r="DW261" s="280"/>
      <c r="DX261" s="280"/>
      <c r="DY261" s="280"/>
      <c r="DZ261" s="280"/>
      <c r="EA261" s="280"/>
      <c r="EB261" s="280"/>
      <c r="EC261" s="280"/>
      <c r="ED261" s="280"/>
      <c r="EE261" s="280"/>
      <c r="EF261" s="280"/>
      <c r="EG261" s="280"/>
      <c r="EH261" s="280"/>
      <c r="EI261" s="280"/>
      <c r="EJ261" s="280"/>
      <c r="EK261" s="280"/>
      <c r="EL261" s="280"/>
      <c r="EM261" s="280"/>
      <c r="EN261" s="280"/>
      <c r="EO261" s="280"/>
      <c r="EP261" s="521"/>
      <c r="EQ261" s="521"/>
      <c r="ER261" s="521"/>
      <c r="ES261" s="521"/>
      <c r="ET261" s="521"/>
      <c r="EU261" s="521"/>
      <c r="EV261" s="521"/>
      <c r="EW261" s="521"/>
      <c r="EX261" s="521"/>
      <c r="EY261" s="521"/>
      <c r="EZ261" s="521"/>
      <c r="FA261" s="521"/>
      <c r="FB261" s="521"/>
      <c r="FC261" s="521"/>
      <c r="FD261" s="521"/>
      <c r="FE261" s="521"/>
      <c r="FF261" s="521"/>
      <c r="FG261" s="521"/>
      <c r="FH261" s="567"/>
      <c r="FI261" s="567"/>
      <c r="FJ261" s="567"/>
      <c r="FK261" s="567"/>
      <c r="FL261" s="567"/>
      <c r="FM261" s="567"/>
      <c r="FN261" s="567"/>
      <c r="FO261" s="567"/>
    </row>
    <row r="262" spans="1:171" s="568" customFormat="1" ht="13.9" customHeight="1">
      <c r="A262" s="566"/>
      <c r="B262" s="566"/>
      <c r="C262" s="566"/>
      <c r="D262" s="569"/>
      <c r="E262" s="570"/>
      <c r="F262" s="571"/>
      <c r="G262" s="571"/>
      <c r="H262" s="571"/>
      <c r="I262" s="571"/>
      <c r="J262" s="571"/>
      <c r="K262" s="572"/>
      <c r="L262" s="569"/>
      <c r="M262" s="569"/>
      <c r="N262" s="569"/>
      <c r="O262" s="569"/>
      <c r="P262" s="566"/>
      <c r="Q262" s="566"/>
      <c r="R262" s="566"/>
      <c r="S262" s="566"/>
      <c r="T262" s="566"/>
      <c r="U262" s="566"/>
      <c r="V262" s="566"/>
      <c r="W262" s="566"/>
      <c r="X262" s="553"/>
      <c r="Y262" s="553"/>
      <c r="Z262" s="553"/>
      <c r="AA262" s="554"/>
      <c r="AB262" s="550"/>
      <c r="AC262" s="550"/>
      <c r="AD262" s="550"/>
      <c r="AE262" s="307"/>
      <c r="AF262" s="307"/>
      <c r="AG262" s="307"/>
      <c r="AH262" s="307"/>
      <c r="AI262" s="307"/>
      <c r="AJ262" s="307"/>
      <c r="AK262" s="307"/>
      <c r="AL262" s="307"/>
      <c r="AM262" s="307"/>
      <c r="AN262" s="307"/>
      <c r="AO262" s="307"/>
      <c r="AP262" s="307"/>
      <c r="AQ262" s="307"/>
      <c r="AR262" s="307"/>
      <c r="AS262" s="307"/>
      <c r="AT262" s="307"/>
      <c r="AU262" s="307"/>
      <c r="AV262" s="307"/>
      <c r="AW262" s="307"/>
      <c r="AX262" s="307"/>
      <c r="AY262" s="307"/>
      <c r="AZ262" s="307"/>
      <c r="BA262" s="307"/>
      <c r="BB262" s="307"/>
      <c r="BC262" s="307"/>
      <c r="BD262" s="307"/>
      <c r="BE262" s="307"/>
      <c r="BF262" s="307"/>
      <c r="BG262" s="307"/>
      <c r="BH262" s="307"/>
      <c r="BI262" s="307"/>
      <c r="BJ262" s="307"/>
      <c r="BK262" s="307"/>
      <c r="BL262" s="307"/>
      <c r="BM262" s="307"/>
      <c r="BN262" s="307"/>
      <c r="BO262" s="307"/>
      <c r="BP262" s="307"/>
      <c r="BQ262" s="307"/>
      <c r="BR262" s="307"/>
      <c r="BS262" s="307"/>
      <c r="BT262" s="307"/>
      <c r="BU262" s="307"/>
      <c r="BV262" s="307"/>
      <c r="BW262" s="307"/>
      <c r="BX262" s="307"/>
      <c r="BY262" s="307"/>
      <c r="BZ262" s="307"/>
      <c r="CA262" s="307"/>
      <c r="CB262" s="307"/>
      <c r="CC262" s="307"/>
      <c r="CD262" s="307"/>
      <c r="CE262" s="307"/>
      <c r="CF262" s="307"/>
      <c r="CG262" s="307"/>
      <c r="CH262" s="307"/>
      <c r="CI262" s="307"/>
      <c r="CJ262" s="307"/>
      <c r="CK262" s="307"/>
      <c r="CL262" s="307"/>
      <c r="CM262" s="307"/>
      <c r="CN262" s="307"/>
      <c r="CO262" s="307"/>
      <c r="CP262" s="307"/>
      <c r="CQ262" s="307"/>
      <c r="CR262" s="307"/>
      <c r="CS262" s="307"/>
      <c r="CT262" s="307"/>
      <c r="CU262" s="307"/>
      <c r="CV262" s="307"/>
      <c r="CW262" s="307"/>
      <c r="CX262" s="307"/>
      <c r="CY262" s="307"/>
      <c r="CZ262" s="307"/>
      <c r="DA262" s="307"/>
      <c r="DB262" s="280"/>
      <c r="DC262" s="280"/>
      <c r="DD262" s="280"/>
      <c r="DE262" s="280"/>
      <c r="DF262" s="280"/>
      <c r="DG262" s="280"/>
      <c r="DH262" s="280"/>
      <c r="DI262" s="280"/>
      <c r="DJ262" s="280"/>
      <c r="DK262" s="280"/>
      <c r="DL262" s="280"/>
      <c r="DM262" s="280"/>
      <c r="DN262" s="280"/>
      <c r="DO262" s="280"/>
      <c r="DP262" s="280"/>
      <c r="DQ262" s="280"/>
      <c r="DR262" s="280"/>
      <c r="DS262" s="280"/>
      <c r="DT262" s="280"/>
      <c r="DU262" s="280"/>
      <c r="DV262" s="280"/>
      <c r="DW262" s="280"/>
      <c r="DX262" s="280"/>
      <c r="DY262" s="280"/>
      <c r="DZ262" s="280"/>
      <c r="EA262" s="280"/>
      <c r="EB262" s="280"/>
      <c r="EC262" s="280"/>
      <c r="ED262" s="280"/>
      <c r="EE262" s="280"/>
      <c r="EF262" s="280"/>
      <c r="EG262" s="280"/>
      <c r="EH262" s="280"/>
      <c r="EI262" s="280"/>
      <c r="EJ262" s="280"/>
      <c r="EK262" s="280"/>
      <c r="EL262" s="280"/>
      <c r="EM262" s="280"/>
      <c r="EN262" s="280"/>
      <c r="EO262" s="280"/>
      <c r="EP262" s="521"/>
      <c r="EQ262" s="521"/>
      <c r="ER262" s="521"/>
      <c r="ES262" s="521"/>
      <c r="ET262" s="521"/>
      <c r="EU262" s="521"/>
      <c r="EV262" s="521"/>
      <c r="EW262" s="521"/>
      <c r="EX262" s="521"/>
      <c r="EY262" s="521"/>
      <c r="EZ262" s="521"/>
      <c r="FA262" s="521"/>
      <c r="FB262" s="521"/>
      <c r="FC262" s="521"/>
      <c r="FD262" s="521"/>
      <c r="FE262" s="521"/>
      <c r="FF262" s="521"/>
      <c r="FG262" s="521"/>
      <c r="FH262" s="567"/>
      <c r="FI262" s="567"/>
      <c r="FJ262" s="567"/>
      <c r="FK262" s="567"/>
      <c r="FL262" s="567"/>
      <c r="FM262" s="567"/>
      <c r="FN262" s="567"/>
      <c r="FO262" s="567"/>
    </row>
    <row r="263" spans="1:171" s="568" customFormat="1" ht="13.9" customHeight="1">
      <c r="A263" s="566"/>
      <c r="B263" s="566"/>
      <c r="C263" s="566"/>
      <c r="D263" s="569"/>
      <c r="E263" s="570"/>
      <c r="F263" s="571"/>
      <c r="G263" s="571"/>
      <c r="H263" s="571"/>
      <c r="I263" s="571"/>
      <c r="J263" s="571"/>
      <c r="K263" s="572"/>
      <c r="L263" s="569"/>
      <c r="M263" s="569"/>
      <c r="N263" s="569"/>
      <c r="O263" s="569"/>
      <c r="P263" s="566"/>
      <c r="Q263" s="566"/>
      <c r="R263" s="566"/>
      <c r="S263" s="566"/>
      <c r="T263" s="566"/>
      <c r="U263" s="566"/>
      <c r="V263" s="566"/>
      <c r="W263" s="566"/>
      <c r="X263" s="553"/>
      <c r="Y263" s="553"/>
      <c r="Z263" s="553"/>
      <c r="AA263" s="554"/>
      <c r="AB263" s="550"/>
      <c r="AC263" s="550"/>
      <c r="AD263" s="550"/>
      <c r="AE263" s="307"/>
      <c r="AF263" s="307"/>
      <c r="AG263" s="307"/>
      <c r="AH263" s="307"/>
      <c r="AI263" s="307"/>
      <c r="AJ263" s="307"/>
      <c r="AK263" s="307"/>
      <c r="AL263" s="307"/>
      <c r="AM263" s="307"/>
      <c r="AN263" s="307"/>
      <c r="AO263" s="307"/>
      <c r="AP263" s="307"/>
      <c r="AQ263" s="307"/>
      <c r="AR263" s="307"/>
      <c r="AS263" s="307"/>
      <c r="AT263" s="307"/>
      <c r="AU263" s="307"/>
      <c r="AV263" s="307"/>
      <c r="AW263" s="307"/>
      <c r="AX263" s="307"/>
      <c r="AY263" s="307"/>
      <c r="AZ263" s="307"/>
      <c r="BA263" s="307"/>
      <c r="BB263" s="307"/>
      <c r="BC263" s="307"/>
      <c r="BD263" s="307"/>
      <c r="BE263" s="307"/>
      <c r="BF263" s="307"/>
      <c r="BG263" s="307"/>
      <c r="BH263" s="307"/>
      <c r="BI263" s="307"/>
      <c r="BJ263" s="307"/>
      <c r="BK263" s="307"/>
      <c r="BL263" s="307"/>
      <c r="BM263" s="307"/>
      <c r="BN263" s="307"/>
      <c r="BO263" s="307"/>
      <c r="BP263" s="307"/>
      <c r="BQ263" s="307"/>
      <c r="BR263" s="307"/>
      <c r="BS263" s="307"/>
      <c r="BT263" s="307"/>
      <c r="BU263" s="307"/>
      <c r="BV263" s="307"/>
      <c r="BW263" s="307"/>
      <c r="BX263" s="307"/>
      <c r="BY263" s="307"/>
      <c r="BZ263" s="307"/>
      <c r="CA263" s="307"/>
      <c r="CB263" s="307"/>
      <c r="CC263" s="307"/>
      <c r="CD263" s="307"/>
      <c r="CE263" s="307"/>
      <c r="CF263" s="307"/>
      <c r="CG263" s="307"/>
      <c r="CH263" s="307"/>
      <c r="CI263" s="307"/>
      <c r="CJ263" s="307"/>
      <c r="CK263" s="307"/>
      <c r="CL263" s="307"/>
      <c r="CM263" s="307"/>
      <c r="CN263" s="307"/>
      <c r="CO263" s="307"/>
      <c r="CP263" s="307"/>
      <c r="CQ263" s="307"/>
      <c r="CR263" s="307"/>
      <c r="CS263" s="307"/>
      <c r="CT263" s="307"/>
      <c r="CU263" s="307"/>
      <c r="CV263" s="307"/>
      <c r="CW263" s="307"/>
      <c r="CX263" s="307"/>
      <c r="CY263" s="307"/>
      <c r="CZ263" s="307"/>
      <c r="DA263" s="307"/>
      <c r="DB263" s="280"/>
      <c r="DC263" s="280"/>
      <c r="DD263" s="280"/>
      <c r="DE263" s="280"/>
      <c r="DF263" s="280"/>
      <c r="DG263" s="280"/>
      <c r="DH263" s="280"/>
      <c r="DI263" s="280"/>
      <c r="DJ263" s="280"/>
      <c r="DK263" s="280"/>
      <c r="DL263" s="280"/>
      <c r="DM263" s="280"/>
      <c r="DN263" s="280"/>
      <c r="DO263" s="280"/>
      <c r="DP263" s="280"/>
      <c r="DQ263" s="280"/>
      <c r="DR263" s="280"/>
      <c r="DS263" s="280"/>
      <c r="DT263" s="280"/>
      <c r="DU263" s="280"/>
      <c r="DV263" s="280"/>
      <c r="DW263" s="280"/>
      <c r="DX263" s="280"/>
      <c r="DY263" s="280"/>
      <c r="DZ263" s="280"/>
      <c r="EA263" s="280"/>
      <c r="EB263" s="280"/>
      <c r="EC263" s="280"/>
      <c r="ED263" s="280"/>
      <c r="EE263" s="280"/>
      <c r="EF263" s="280"/>
      <c r="EG263" s="280"/>
      <c r="EH263" s="280"/>
      <c r="EI263" s="280"/>
      <c r="EJ263" s="280"/>
      <c r="EK263" s="280"/>
      <c r="EL263" s="280"/>
      <c r="EM263" s="280"/>
      <c r="EN263" s="280"/>
      <c r="EO263" s="280"/>
      <c r="EP263" s="521"/>
      <c r="EQ263" s="521"/>
      <c r="ER263" s="521"/>
      <c r="ES263" s="521"/>
      <c r="ET263" s="521"/>
      <c r="EU263" s="521"/>
      <c r="EV263" s="521"/>
      <c r="EW263" s="521"/>
      <c r="EX263" s="521"/>
      <c r="EY263" s="521"/>
      <c r="EZ263" s="521"/>
      <c r="FA263" s="521"/>
      <c r="FB263" s="521"/>
      <c r="FC263" s="521"/>
      <c r="FD263" s="521"/>
      <c r="FE263" s="521"/>
      <c r="FF263" s="521"/>
      <c r="FG263" s="521"/>
      <c r="FH263" s="567"/>
      <c r="FI263" s="567"/>
      <c r="FJ263" s="567"/>
      <c r="FK263" s="567"/>
      <c r="FL263" s="567"/>
      <c r="FM263" s="567"/>
      <c r="FN263" s="567"/>
      <c r="FO263" s="567"/>
    </row>
    <row r="264" spans="1:171" s="568" customFormat="1" ht="13.9" customHeight="1">
      <c r="A264" s="566"/>
      <c r="B264" s="566"/>
      <c r="C264" s="566"/>
      <c r="D264" s="569"/>
      <c r="E264" s="570"/>
      <c r="F264" s="571"/>
      <c r="G264" s="571"/>
      <c r="H264" s="571"/>
      <c r="I264" s="571"/>
      <c r="J264" s="571"/>
      <c r="K264" s="572"/>
      <c r="L264" s="569"/>
      <c r="M264" s="569"/>
      <c r="N264" s="569"/>
      <c r="O264" s="569"/>
      <c r="P264" s="566"/>
      <c r="Q264" s="566"/>
      <c r="R264" s="566"/>
      <c r="S264" s="566"/>
      <c r="T264" s="566"/>
      <c r="U264" s="566"/>
      <c r="V264" s="566"/>
      <c r="W264" s="566"/>
      <c r="X264" s="553"/>
      <c r="Y264" s="553"/>
      <c r="Z264" s="553"/>
      <c r="AA264" s="554"/>
      <c r="AB264" s="550"/>
      <c r="AC264" s="550"/>
      <c r="AD264" s="550"/>
      <c r="AE264" s="307"/>
      <c r="AF264" s="307"/>
      <c r="AG264" s="307"/>
      <c r="AH264" s="307"/>
      <c r="AI264" s="307"/>
      <c r="AJ264" s="307"/>
      <c r="AK264" s="307"/>
      <c r="AL264" s="307"/>
      <c r="AM264" s="307"/>
      <c r="AN264" s="307"/>
      <c r="AO264" s="307"/>
      <c r="AP264" s="307"/>
      <c r="AQ264" s="307"/>
      <c r="AR264" s="307"/>
      <c r="AS264" s="307"/>
      <c r="AT264" s="307"/>
      <c r="AU264" s="307"/>
      <c r="AV264" s="307"/>
      <c r="AW264" s="307"/>
      <c r="AX264" s="307"/>
      <c r="AY264" s="307"/>
      <c r="AZ264" s="307"/>
      <c r="BA264" s="307"/>
      <c r="BB264" s="307"/>
      <c r="BC264" s="307"/>
      <c r="BD264" s="307"/>
      <c r="BE264" s="307"/>
      <c r="BF264" s="307"/>
      <c r="BG264" s="307"/>
      <c r="BH264" s="307"/>
      <c r="BI264" s="307"/>
      <c r="BJ264" s="307"/>
      <c r="BK264" s="307"/>
      <c r="BL264" s="307"/>
      <c r="BM264" s="307"/>
      <c r="BN264" s="307"/>
      <c r="BO264" s="307"/>
      <c r="BP264" s="307"/>
      <c r="BQ264" s="307"/>
      <c r="BR264" s="307"/>
      <c r="BS264" s="307"/>
      <c r="BT264" s="307"/>
      <c r="BU264" s="307"/>
      <c r="BV264" s="307"/>
      <c r="BW264" s="307"/>
      <c r="BX264" s="307"/>
      <c r="BY264" s="307"/>
      <c r="BZ264" s="307"/>
      <c r="CA264" s="307"/>
      <c r="CB264" s="307"/>
      <c r="CC264" s="307"/>
      <c r="CD264" s="307"/>
      <c r="CE264" s="307"/>
      <c r="CF264" s="307"/>
      <c r="CG264" s="307"/>
      <c r="CH264" s="307"/>
      <c r="CI264" s="307"/>
      <c r="CJ264" s="307"/>
      <c r="CK264" s="307"/>
      <c r="CL264" s="307"/>
      <c r="CM264" s="307"/>
      <c r="CN264" s="307"/>
      <c r="CO264" s="307"/>
      <c r="CP264" s="307"/>
      <c r="CQ264" s="307"/>
      <c r="CR264" s="307"/>
      <c r="CS264" s="307"/>
      <c r="CT264" s="307"/>
      <c r="CU264" s="307"/>
      <c r="CV264" s="307"/>
      <c r="CW264" s="307"/>
      <c r="CX264" s="307"/>
      <c r="CY264" s="307"/>
      <c r="CZ264" s="307"/>
      <c r="DA264" s="307"/>
      <c r="DB264" s="280"/>
      <c r="DC264" s="280"/>
      <c r="DD264" s="280"/>
      <c r="DE264" s="280"/>
      <c r="DF264" s="280"/>
      <c r="DG264" s="280"/>
      <c r="DH264" s="280"/>
      <c r="DI264" s="280"/>
      <c r="DJ264" s="280"/>
      <c r="DK264" s="280"/>
      <c r="DL264" s="280"/>
      <c r="DM264" s="280"/>
      <c r="DN264" s="280"/>
      <c r="DO264" s="280"/>
      <c r="DP264" s="280"/>
      <c r="DQ264" s="280"/>
      <c r="DR264" s="280"/>
      <c r="DS264" s="280"/>
      <c r="DT264" s="280"/>
      <c r="DU264" s="280"/>
      <c r="DV264" s="280"/>
      <c r="DW264" s="280"/>
      <c r="DX264" s="280"/>
      <c r="DY264" s="280"/>
      <c r="DZ264" s="280"/>
      <c r="EA264" s="280"/>
      <c r="EB264" s="280"/>
      <c r="EC264" s="280"/>
      <c r="ED264" s="280"/>
      <c r="EE264" s="280"/>
      <c r="EF264" s="280"/>
      <c r="EG264" s="280"/>
      <c r="EH264" s="280"/>
      <c r="EI264" s="280"/>
      <c r="EJ264" s="280"/>
      <c r="EK264" s="280"/>
      <c r="EL264" s="280"/>
      <c r="EM264" s="280"/>
      <c r="EN264" s="280"/>
      <c r="EO264" s="280"/>
      <c r="EP264" s="521"/>
      <c r="EQ264" s="521"/>
      <c r="ER264" s="521"/>
      <c r="ES264" s="521"/>
      <c r="ET264" s="521"/>
      <c r="EU264" s="521"/>
      <c r="EV264" s="521"/>
      <c r="EW264" s="521"/>
      <c r="EX264" s="521"/>
      <c r="EY264" s="521"/>
      <c r="EZ264" s="521"/>
      <c r="FA264" s="521"/>
      <c r="FB264" s="521"/>
      <c r="FC264" s="521"/>
      <c r="FD264" s="521"/>
      <c r="FE264" s="521"/>
      <c r="FF264" s="521"/>
      <c r="FG264" s="521"/>
      <c r="FH264" s="567"/>
      <c r="FI264" s="567"/>
      <c r="FJ264" s="567"/>
      <c r="FK264" s="567"/>
      <c r="FL264" s="567"/>
      <c r="FM264" s="567"/>
      <c r="FN264" s="567"/>
      <c r="FO264" s="567"/>
    </row>
    <row r="265" spans="1:171" s="568" customFormat="1" ht="13.9" customHeight="1">
      <c r="A265" s="566"/>
      <c r="B265" s="566"/>
      <c r="C265" s="566"/>
      <c r="D265" s="569"/>
      <c r="E265" s="570"/>
      <c r="F265" s="571"/>
      <c r="G265" s="571"/>
      <c r="H265" s="571"/>
      <c r="I265" s="571"/>
      <c r="J265" s="571"/>
      <c r="K265" s="572"/>
      <c r="L265" s="569"/>
      <c r="M265" s="569"/>
      <c r="N265" s="569"/>
      <c r="O265" s="569"/>
      <c r="P265" s="566"/>
      <c r="Q265" s="566"/>
      <c r="R265" s="566"/>
      <c r="S265" s="566"/>
      <c r="T265" s="566"/>
      <c r="U265" s="566"/>
      <c r="V265" s="566"/>
      <c r="W265" s="566"/>
      <c r="X265" s="553"/>
      <c r="Y265" s="553"/>
      <c r="Z265" s="553"/>
      <c r="AA265" s="554"/>
      <c r="AB265" s="550"/>
      <c r="AC265" s="550"/>
      <c r="AD265" s="550"/>
      <c r="AE265" s="307"/>
      <c r="AF265" s="307"/>
      <c r="AG265" s="307"/>
      <c r="AH265" s="307"/>
      <c r="AI265" s="307"/>
      <c r="AJ265" s="307"/>
      <c r="AK265" s="307"/>
      <c r="AL265" s="307"/>
      <c r="AM265" s="307"/>
      <c r="AN265" s="307"/>
      <c r="AO265" s="307"/>
      <c r="AP265" s="307"/>
      <c r="AQ265" s="307"/>
      <c r="AR265" s="307"/>
      <c r="AS265" s="307"/>
      <c r="AT265" s="307"/>
      <c r="AU265" s="307"/>
      <c r="AV265" s="307"/>
      <c r="AW265" s="307"/>
      <c r="AX265" s="307"/>
      <c r="AY265" s="307"/>
      <c r="AZ265" s="307"/>
      <c r="BA265" s="307"/>
      <c r="BB265" s="307"/>
      <c r="BC265" s="307"/>
      <c r="BD265" s="307"/>
      <c r="BE265" s="307"/>
      <c r="BF265" s="307"/>
      <c r="BG265" s="307"/>
      <c r="BH265" s="307"/>
      <c r="BI265" s="307"/>
      <c r="BJ265" s="307"/>
      <c r="BK265" s="307"/>
      <c r="BL265" s="307"/>
      <c r="BM265" s="307"/>
      <c r="BN265" s="307"/>
      <c r="BO265" s="307"/>
      <c r="BP265" s="307"/>
      <c r="BQ265" s="307"/>
      <c r="BR265" s="307"/>
      <c r="BS265" s="307"/>
      <c r="BT265" s="307"/>
      <c r="BU265" s="307"/>
      <c r="BV265" s="307"/>
      <c r="BW265" s="307"/>
      <c r="BX265" s="307"/>
      <c r="BY265" s="307"/>
      <c r="BZ265" s="307"/>
      <c r="CA265" s="307"/>
      <c r="CB265" s="307"/>
      <c r="CC265" s="307"/>
      <c r="CD265" s="307"/>
      <c r="CE265" s="307"/>
      <c r="CF265" s="307"/>
      <c r="CG265" s="307"/>
      <c r="CH265" s="307"/>
      <c r="CI265" s="307"/>
      <c r="CJ265" s="307"/>
      <c r="CK265" s="307"/>
      <c r="CL265" s="307"/>
      <c r="CM265" s="307"/>
      <c r="CN265" s="307"/>
      <c r="CO265" s="307"/>
      <c r="CP265" s="307"/>
      <c r="CQ265" s="307"/>
      <c r="CR265" s="307"/>
      <c r="CS265" s="307"/>
      <c r="CT265" s="307"/>
      <c r="CU265" s="307"/>
      <c r="CV265" s="307"/>
      <c r="CW265" s="307"/>
      <c r="CX265" s="307"/>
      <c r="CY265" s="307"/>
      <c r="CZ265" s="307"/>
      <c r="DA265" s="307"/>
      <c r="DB265" s="280"/>
      <c r="DC265" s="280"/>
      <c r="DD265" s="280"/>
      <c r="DE265" s="280"/>
      <c r="DF265" s="280"/>
      <c r="DG265" s="280"/>
      <c r="DH265" s="280"/>
      <c r="DI265" s="280"/>
      <c r="DJ265" s="280"/>
      <c r="DK265" s="280"/>
      <c r="DL265" s="280"/>
      <c r="DM265" s="280"/>
      <c r="DN265" s="280"/>
      <c r="DO265" s="280"/>
      <c r="DP265" s="280"/>
      <c r="DQ265" s="280"/>
      <c r="DR265" s="280"/>
      <c r="DS265" s="280"/>
      <c r="DT265" s="280"/>
      <c r="DU265" s="280"/>
      <c r="DV265" s="280"/>
      <c r="DW265" s="280"/>
      <c r="DX265" s="280"/>
      <c r="DY265" s="280"/>
      <c r="DZ265" s="280"/>
      <c r="EA265" s="280"/>
      <c r="EB265" s="280"/>
      <c r="EC265" s="280"/>
      <c r="ED265" s="280"/>
      <c r="EE265" s="280"/>
      <c r="EF265" s="280"/>
      <c r="EG265" s="280"/>
      <c r="EH265" s="280"/>
      <c r="EI265" s="280"/>
      <c r="EJ265" s="280"/>
      <c r="EK265" s="280"/>
      <c r="EL265" s="280"/>
      <c r="EM265" s="280"/>
      <c r="EN265" s="280"/>
      <c r="EO265" s="280"/>
      <c r="EP265" s="521"/>
      <c r="EQ265" s="521"/>
      <c r="ER265" s="521"/>
      <c r="ES265" s="521"/>
      <c r="ET265" s="521"/>
      <c r="EU265" s="521"/>
      <c r="EV265" s="521"/>
      <c r="EW265" s="521"/>
      <c r="EX265" s="521"/>
      <c r="EY265" s="521"/>
      <c r="EZ265" s="521"/>
      <c r="FA265" s="521"/>
      <c r="FB265" s="521"/>
      <c r="FC265" s="521"/>
      <c r="FD265" s="521"/>
      <c r="FE265" s="521"/>
      <c r="FF265" s="521"/>
      <c r="FG265" s="521"/>
      <c r="FH265" s="567"/>
      <c r="FI265" s="567"/>
      <c r="FJ265" s="567"/>
      <c r="FK265" s="567"/>
      <c r="FL265" s="567"/>
      <c r="FM265" s="567"/>
      <c r="FN265" s="567"/>
      <c r="FO265" s="567"/>
    </row>
    <row r="266" spans="1:171" s="568" customFormat="1" ht="13.9" customHeight="1">
      <c r="A266" s="566"/>
      <c r="B266" s="566"/>
      <c r="C266" s="566"/>
      <c r="D266" s="569"/>
      <c r="E266" s="570"/>
      <c r="F266" s="571"/>
      <c r="G266" s="571"/>
      <c r="H266" s="571"/>
      <c r="I266" s="571"/>
      <c r="J266" s="571"/>
      <c r="K266" s="572"/>
      <c r="L266" s="569"/>
      <c r="M266" s="569"/>
      <c r="N266" s="569"/>
      <c r="O266" s="569"/>
      <c r="P266" s="566"/>
      <c r="Q266" s="566"/>
      <c r="R266" s="566"/>
      <c r="S266" s="566"/>
      <c r="T266" s="566"/>
      <c r="U266" s="566"/>
      <c r="V266" s="566"/>
      <c r="W266" s="566"/>
      <c r="X266" s="553"/>
      <c r="Y266" s="553"/>
      <c r="Z266" s="553"/>
      <c r="AA266" s="554"/>
      <c r="AB266" s="550"/>
      <c r="AC266" s="550"/>
      <c r="AD266" s="550"/>
      <c r="AE266" s="307"/>
      <c r="AF266" s="307"/>
      <c r="AG266" s="307"/>
      <c r="AH266" s="307"/>
      <c r="AI266" s="307"/>
      <c r="AJ266" s="307"/>
      <c r="AK266" s="307"/>
      <c r="AL266" s="307"/>
      <c r="AM266" s="307"/>
      <c r="AN266" s="307"/>
      <c r="AO266" s="307"/>
      <c r="AP266" s="307"/>
      <c r="AQ266" s="307"/>
      <c r="AR266" s="307"/>
      <c r="AS266" s="307"/>
      <c r="AT266" s="307"/>
      <c r="AU266" s="307"/>
      <c r="AV266" s="307"/>
      <c r="AW266" s="307"/>
      <c r="AX266" s="307"/>
      <c r="AY266" s="307"/>
      <c r="AZ266" s="307"/>
      <c r="BA266" s="307"/>
      <c r="BB266" s="307"/>
      <c r="BC266" s="307"/>
      <c r="BD266" s="307"/>
      <c r="BE266" s="307"/>
      <c r="BF266" s="307"/>
      <c r="BG266" s="307"/>
      <c r="BH266" s="307"/>
      <c r="BI266" s="307"/>
      <c r="BJ266" s="307"/>
      <c r="BK266" s="307"/>
      <c r="BL266" s="307"/>
      <c r="BM266" s="307"/>
      <c r="BN266" s="307"/>
      <c r="BO266" s="307"/>
      <c r="BP266" s="307"/>
      <c r="BQ266" s="307"/>
      <c r="BR266" s="307"/>
      <c r="BS266" s="307"/>
      <c r="BT266" s="307"/>
      <c r="BU266" s="307"/>
      <c r="BV266" s="307"/>
      <c r="BW266" s="307"/>
      <c r="BX266" s="307"/>
      <c r="BY266" s="307"/>
      <c r="BZ266" s="307"/>
      <c r="CA266" s="307"/>
      <c r="CB266" s="307"/>
      <c r="CC266" s="307"/>
      <c r="CD266" s="307"/>
      <c r="CE266" s="307"/>
      <c r="CF266" s="307"/>
      <c r="CG266" s="307"/>
      <c r="CH266" s="307"/>
      <c r="CI266" s="307"/>
      <c r="CJ266" s="307"/>
      <c r="CK266" s="307"/>
      <c r="CL266" s="307"/>
      <c r="CM266" s="307"/>
      <c r="CN266" s="307"/>
      <c r="CO266" s="307"/>
      <c r="CP266" s="307"/>
      <c r="CQ266" s="307"/>
      <c r="CR266" s="307"/>
      <c r="CS266" s="307"/>
      <c r="CT266" s="307"/>
      <c r="CU266" s="307"/>
      <c r="CV266" s="307"/>
      <c r="CW266" s="307"/>
      <c r="CX266" s="307"/>
      <c r="CY266" s="307"/>
      <c r="CZ266" s="307"/>
      <c r="DA266" s="307"/>
      <c r="DB266" s="280"/>
      <c r="DC266" s="280"/>
      <c r="DD266" s="280"/>
      <c r="DE266" s="280"/>
      <c r="DF266" s="280"/>
      <c r="DG266" s="280"/>
      <c r="DH266" s="280"/>
      <c r="DI266" s="280"/>
      <c r="DJ266" s="280"/>
      <c r="DK266" s="280"/>
      <c r="DL266" s="280"/>
      <c r="DM266" s="280"/>
      <c r="DN266" s="280"/>
      <c r="DO266" s="280"/>
      <c r="DP266" s="280"/>
      <c r="DQ266" s="280"/>
      <c r="DR266" s="280"/>
      <c r="DS266" s="280"/>
      <c r="DT266" s="280"/>
      <c r="DU266" s="280"/>
      <c r="DV266" s="280"/>
      <c r="DW266" s="280"/>
      <c r="DX266" s="280"/>
      <c r="DY266" s="280"/>
      <c r="DZ266" s="280"/>
      <c r="EA266" s="280"/>
      <c r="EB266" s="280"/>
      <c r="EC266" s="280"/>
      <c r="ED266" s="280"/>
      <c r="EE266" s="280"/>
      <c r="EF266" s="280"/>
      <c r="EG266" s="280"/>
      <c r="EH266" s="280"/>
      <c r="EI266" s="280"/>
      <c r="EJ266" s="280"/>
      <c r="EK266" s="280"/>
      <c r="EL266" s="280"/>
      <c r="EM266" s="280"/>
      <c r="EN266" s="280"/>
      <c r="EO266" s="280"/>
      <c r="EP266" s="521"/>
      <c r="EQ266" s="521"/>
      <c r="ER266" s="521"/>
      <c r="ES266" s="521"/>
      <c r="ET266" s="521"/>
      <c r="EU266" s="521"/>
      <c r="EV266" s="521"/>
      <c r="EW266" s="521"/>
      <c r="EX266" s="521"/>
      <c r="EY266" s="521"/>
      <c r="EZ266" s="521"/>
      <c r="FA266" s="521"/>
      <c r="FB266" s="521"/>
      <c r="FC266" s="521"/>
      <c r="FD266" s="521"/>
      <c r="FE266" s="521"/>
      <c r="FF266" s="521"/>
      <c r="FG266" s="521"/>
      <c r="FH266" s="567"/>
      <c r="FI266" s="567"/>
      <c r="FJ266" s="567"/>
      <c r="FK266" s="567"/>
      <c r="FL266" s="567"/>
      <c r="FM266" s="567"/>
      <c r="FN266" s="567"/>
      <c r="FO266" s="567"/>
    </row>
    <row r="267" spans="1:171" s="568" customFormat="1" ht="13.9" customHeight="1">
      <c r="A267" s="566"/>
      <c r="B267" s="566"/>
      <c r="C267" s="566"/>
      <c r="D267" s="569"/>
      <c r="E267" s="570"/>
      <c r="F267" s="571"/>
      <c r="G267" s="571"/>
      <c r="H267" s="571"/>
      <c r="I267" s="571"/>
      <c r="J267" s="571"/>
      <c r="K267" s="572"/>
      <c r="L267" s="569"/>
      <c r="M267" s="569"/>
      <c r="N267" s="569"/>
      <c r="O267" s="569"/>
      <c r="P267" s="566"/>
      <c r="Q267" s="566"/>
      <c r="R267" s="566"/>
      <c r="S267" s="566"/>
      <c r="T267" s="566"/>
      <c r="U267" s="566"/>
      <c r="V267" s="566"/>
      <c r="W267" s="566"/>
      <c r="X267" s="553"/>
      <c r="Y267" s="553"/>
      <c r="Z267" s="553"/>
      <c r="AA267" s="554"/>
      <c r="AB267" s="550"/>
      <c r="AC267" s="550"/>
      <c r="AD267" s="550"/>
      <c r="AE267" s="307"/>
      <c r="AF267" s="307"/>
      <c r="AG267" s="307"/>
      <c r="AH267" s="307"/>
      <c r="AI267" s="307"/>
      <c r="AJ267" s="307"/>
      <c r="AK267" s="307"/>
      <c r="AL267" s="307"/>
      <c r="AM267" s="307"/>
      <c r="AN267" s="307"/>
      <c r="AO267" s="307"/>
      <c r="AP267" s="307"/>
      <c r="AQ267" s="307"/>
      <c r="AR267" s="307"/>
      <c r="AS267" s="307"/>
      <c r="AT267" s="307"/>
      <c r="AU267" s="307"/>
      <c r="AV267" s="307"/>
      <c r="AW267" s="307"/>
      <c r="AX267" s="307"/>
      <c r="AY267" s="307"/>
      <c r="AZ267" s="307"/>
      <c r="BA267" s="307"/>
      <c r="BB267" s="307"/>
      <c r="BC267" s="307"/>
      <c r="BD267" s="307"/>
      <c r="BE267" s="307"/>
      <c r="BF267" s="307"/>
      <c r="BG267" s="307"/>
      <c r="BH267" s="307"/>
      <c r="BI267" s="307"/>
      <c r="BJ267" s="307"/>
      <c r="BK267" s="307"/>
      <c r="BL267" s="307"/>
      <c r="BM267" s="307"/>
      <c r="BN267" s="307"/>
      <c r="BO267" s="307"/>
      <c r="BP267" s="307"/>
      <c r="BQ267" s="307"/>
      <c r="BR267" s="307"/>
      <c r="BS267" s="307"/>
      <c r="BT267" s="307"/>
      <c r="BU267" s="307"/>
      <c r="BV267" s="307"/>
      <c r="BW267" s="307"/>
      <c r="BX267" s="307"/>
      <c r="BY267" s="307"/>
      <c r="BZ267" s="307"/>
      <c r="CA267" s="307"/>
      <c r="CB267" s="307"/>
      <c r="CC267" s="307"/>
      <c r="CD267" s="307"/>
      <c r="CE267" s="307"/>
      <c r="CF267" s="307"/>
      <c r="CG267" s="307"/>
      <c r="CH267" s="307"/>
      <c r="CI267" s="307"/>
      <c r="CJ267" s="307"/>
      <c r="CK267" s="307"/>
      <c r="CL267" s="307"/>
      <c r="CM267" s="307"/>
      <c r="CN267" s="307"/>
      <c r="CO267" s="307"/>
      <c r="CP267" s="307"/>
      <c r="CQ267" s="307"/>
      <c r="CR267" s="307"/>
      <c r="CS267" s="307"/>
      <c r="CT267" s="307"/>
      <c r="CU267" s="307"/>
      <c r="CV267" s="307"/>
      <c r="CW267" s="307"/>
      <c r="CX267" s="307"/>
      <c r="CY267" s="307"/>
      <c r="CZ267" s="307"/>
      <c r="DA267" s="307"/>
      <c r="DB267" s="280"/>
      <c r="DC267" s="280"/>
      <c r="DD267" s="280"/>
      <c r="DE267" s="280"/>
      <c r="DF267" s="280"/>
      <c r="DG267" s="280"/>
      <c r="DH267" s="280"/>
      <c r="DI267" s="280"/>
      <c r="DJ267" s="280"/>
      <c r="DK267" s="280"/>
      <c r="DL267" s="280"/>
      <c r="DM267" s="280"/>
      <c r="DN267" s="280"/>
      <c r="DO267" s="280"/>
      <c r="DP267" s="280"/>
      <c r="DQ267" s="280"/>
      <c r="DR267" s="280"/>
      <c r="DS267" s="280"/>
      <c r="DT267" s="280"/>
      <c r="DU267" s="280"/>
      <c r="DV267" s="280"/>
      <c r="DW267" s="280"/>
      <c r="DX267" s="280"/>
      <c r="DY267" s="280"/>
      <c r="DZ267" s="280"/>
      <c r="EA267" s="280"/>
      <c r="EB267" s="280"/>
      <c r="EC267" s="280"/>
      <c r="ED267" s="280"/>
      <c r="EE267" s="280"/>
      <c r="EF267" s="280"/>
      <c r="EG267" s="280"/>
      <c r="EH267" s="280"/>
      <c r="EI267" s="280"/>
      <c r="EJ267" s="280"/>
      <c r="EK267" s="280"/>
      <c r="EL267" s="280"/>
      <c r="EM267" s="280"/>
      <c r="EN267" s="280"/>
      <c r="EO267" s="280"/>
      <c r="EP267" s="521"/>
      <c r="EQ267" s="521"/>
      <c r="ER267" s="521"/>
      <c r="ES267" s="521"/>
      <c r="ET267" s="521"/>
      <c r="EU267" s="521"/>
      <c r="EV267" s="521"/>
      <c r="EW267" s="521"/>
      <c r="EX267" s="521"/>
      <c r="EY267" s="521"/>
      <c r="EZ267" s="521"/>
      <c r="FA267" s="521"/>
      <c r="FB267" s="521"/>
      <c r="FC267" s="521"/>
      <c r="FD267" s="521"/>
      <c r="FE267" s="521"/>
      <c r="FF267" s="521"/>
      <c r="FG267" s="521"/>
      <c r="FH267" s="567"/>
      <c r="FI267" s="567"/>
      <c r="FJ267" s="567"/>
      <c r="FK267" s="567"/>
      <c r="FL267" s="567"/>
      <c r="FM267" s="567"/>
      <c r="FN267" s="567"/>
      <c r="FO267" s="567"/>
    </row>
    <row r="268" spans="1:171" s="568" customFormat="1" ht="13.9" customHeight="1">
      <c r="A268" s="566"/>
      <c r="B268" s="566"/>
      <c r="C268" s="566"/>
      <c r="D268" s="569"/>
      <c r="E268" s="570"/>
      <c r="F268" s="571"/>
      <c r="G268" s="571"/>
      <c r="H268" s="571"/>
      <c r="I268" s="571"/>
      <c r="J268" s="571"/>
      <c r="K268" s="572"/>
      <c r="L268" s="569"/>
      <c r="M268" s="569"/>
      <c r="N268" s="569"/>
      <c r="O268" s="569"/>
      <c r="P268" s="566"/>
      <c r="Q268" s="566"/>
      <c r="R268" s="566"/>
      <c r="S268" s="566"/>
      <c r="T268" s="566"/>
      <c r="U268" s="566"/>
      <c r="V268" s="566"/>
      <c r="W268" s="566"/>
      <c r="X268" s="553"/>
      <c r="Y268" s="553"/>
      <c r="Z268" s="553"/>
      <c r="AA268" s="554"/>
      <c r="AB268" s="550"/>
      <c r="AC268" s="550"/>
      <c r="AD268" s="550"/>
      <c r="AE268" s="307"/>
      <c r="AF268" s="307"/>
      <c r="AG268" s="307"/>
      <c r="AH268" s="307"/>
      <c r="AI268" s="307"/>
      <c r="AJ268" s="307"/>
      <c r="AK268" s="307"/>
      <c r="AL268" s="307"/>
      <c r="AM268" s="307"/>
      <c r="AN268" s="307"/>
      <c r="AO268" s="307"/>
      <c r="AP268" s="307"/>
      <c r="AQ268" s="307"/>
      <c r="AR268" s="307"/>
      <c r="AS268" s="307"/>
      <c r="AT268" s="307"/>
      <c r="AU268" s="307"/>
      <c r="AV268" s="307"/>
      <c r="AW268" s="307"/>
      <c r="AX268" s="307"/>
      <c r="AY268" s="307"/>
      <c r="AZ268" s="307"/>
      <c r="BA268" s="307"/>
      <c r="BB268" s="307"/>
      <c r="BC268" s="307"/>
      <c r="BD268" s="307"/>
      <c r="BE268" s="307"/>
      <c r="BF268" s="307"/>
      <c r="BG268" s="307"/>
      <c r="BH268" s="307"/>
      <c r="BI268" s="307"/>
      <c r="BJ268" s="307"/>
      <c r="BK268" s="307"/>
      <c r="BL268" s="307"/>
      <c r="BM268" s="307"/>
      <c r="BN268" s="307"/>
      <c r="BO268" s="307"/>
      <c r="BP268" s="307"/>
      <c r="BQ268" s="307"/>
      <c r="BR268" s="307"/>
      <c r="BS268" s="307"/>
      <c r="BT268" s="307"/>
      <c r="BU268" s="307"/>
      <c r="BV268" s="307"/>
      <c r="BW268" s="307"/>
      <c r="BX268" s="307"/>
      <c r="BY268" s="307"/>
      <c r="BZ268" s="307"/>
      <c r="CA268" s="307"/>
      <c r="CB268" s="307"/>
      <c r="CC268" s="307"/>
      <c r="CD268" s="307"/>
      <c r="CE268" s="307"/>
      <c r="CF268" s="307"/>
      <c r="CG268" s="307"/>
      <c r="CH268" s="307"/>
      <c r="CI268" s="307"/>
      <c r="CJ268" s="307"/>
      <c r="CK268" s="307"/>
      <c r="CL268" s="307"/>
      <c r="CM268" s="307"/>
      <c r="CN268" s="307"/>
      <c r="CO268" s="307"/>
      <c r="CP268" s="307"/>
      <c r="CQ268" s="307"/>
      <c r="CR268" s="307"/>
      <c r="CS268" s="307"/>
      <c r="CT268" s="307"/>
      <c r="CU268" s="307"/>
      <c r="CV268" s="307"/>
      <c r="CW268" s="307"/>
      <c r="CX268" s="307"/>
      <c r="CY268" s="307"/>
      <c r="CZ268" s="307"/>
      <c r="DA268" s="307"/>
      <c r="DB268" s="280"/>
      <c r="DC268" s="280"/>
      <c r="DD268" s="280"/>
      <c r="DE268" s="280"/>
      <c r="DF268" s="280"/>
      <c r="DG268" s="280"/>
      <c r="DH268" s="280"/>
      <c r="DI268" s="280"/>
      <c r="DJ268" s="280"/>
      <c r="DK268" s="280"/>
      <c r="DL268" s="280"/>
      <c r="DM268" s="280"/>
      <c r="DN268" s="280"/>
      <c r="DO268" s="280"/>
      <c r="DP268" s="280"/>
      <c r="DQ268" s="280"/>
      <c r="DR268" s="280"/>
      <c r="DS268" s="280"/>
      <c r="DT268" s="280"/>
      <c r="DU268" s="280"/>
      <c r="DV268" s="280"/>
      <c r="DW268" s="280"/>
      <c r="DX268" s="280"/>
      <c r="DY268" s="280"/>
      <c r="DZ268" s="280"/>
      <c r="EA268" s="280"/>
      <c r="EB268" s="280"/>
      <c r="EC268" s="280"/>
      <c r="ED268" s="280"/>
      <c r="EE268" s="280"/>
      <c r="EF268" s="280"/>
      <c r="EG268" s="280"/>
      <c r="EH268" s="280"/>
      <c r="EI268" s="280"/>
      <c r="EJ268" s="280"/>
      <c r="EK268" s="280"/>
      <c r="EL268" s="280"/>
      <c r="EM268" s="280"/>
      <c r="EN268" s="280"/>
      <c r="EO268" s="280"/>
      <c r="EP268" s="521"/>
      <c r="EQ268" s="521"/>
      <c r="ER268" s="521"/>
      <c r="ES268" s="521"/>
      <c r="ET268" s="521"/>
      <c r="EU268" s="521"/>
      <c r="EV268" s="521"/>
      <c r="EW268" s="521"/>
      <c r="EX268" s="521"/>
      <c r="EY268" s="521"/>
      <c r="EZ268" s="521"/>
      <c r="FA268" s="521"/>
      <c r="FB268" s="521"/>
      <c r="FC268" s="521"/>
      <c r="FD268" s="521"/>
      <c r="FE268" s="521"/>
      <c r="FF268" s="521"/>
      <c r="FG268" s="521"/>
      <c r="FH268" s="567"/>
      <c r="FI268" s="567"/>
      <c r="FJ268" s="567"/>
      <c r="FK268" s="567"/>
      <c r="FL268" s="567"/>
      <c r="FM268" s="567"/>
      <c r="FN268" s="567"/>
      <c r="FO268" s="567"/>
    </row>
    <row r="269" spans="1:171" s="568" customFormat="1" ht="13.9" customHeight="1">
      <c r="A269" s="566"/>
      <c r="B269" s="566"/>
      <c r="C269" s="566"/>
      <c r="D269" s="569"/>
      <c r="E269" s="570"/>
      <c r="F269" s="571"/>
      <c r="G269" s="571"/>
      <c r="H269" s="571"/>
      <c r="I269" s="571"/>
      <c r="J269" s="571"/>
      <c r="K269" s="572"/>
      <c r="L269" s="569"/>
      <c r="M269" s="569"/>
      <c r="N269" s="569"/>
      <c r="O269" s="569"/>
      <c r="P269" s="566"/>
      <c r="Q269" s="566"/>
      <c r="R269" s="566"/>
      <c r="S269" s="566"/>
      <c r="T269" s="566"/>
      <c r="U269" s="566"/>
      <c r="V269" s="566"/>
      <c r="W269" s="566"/>
      <c r="X269" s="553"/>
      <c r="Y269" s="553"/>
      <c r="Z269" s="553"/>
      <c r="AA269" s="554"/>
      <c r="AB269" s="550"/>
      <c r="AC269" s="550"/>
      <c r="AD269" s="550"/>
      <c r="AE269" s="307"/>
      <c r="AF269" s="307"/>
      <c r="AG269" s="307"/>
      <c r="AH269" s="307"/>
      <c r="AI269" s="307"/>
      <c r="AJ269" s="307"/>
      <c r="AK269" s="307"/>
      <c r="AL269" s="307"/>
      <c r="AM269" s="307"/>
      <c r="AN269" s="307"/>
      <c r="AO269" s="307"/>
      <c r="AP269" s="307"/>
      <c r="AQ269" s="307"/>
      <c r="AR269" s="307"/>
      <c r="AS269" s="307"/>
      <c r="AT269" s="307"/>
      <c r="AU269" s="307"/>
      <c r="AV269" s="307"/>
      <c r="AW269" s="307"/>
      <c r="AX269" s="307"/>
      <c r="AY269" s="307"/>
      <c r="AZ269" s="307"/>
      <c r="BA269" s="307"/>
      <c r="BB269" s="307"/>
      <c r="BC269" s="307"/>
      <c r="BD269" s="307"/>
      <c r="BE269" s="307"/>
      <c r="BF269" s="307"/>
      <c r="BG269" s="307"/>
      <c r="BH269" s="307"/>
      <c r="BI269" s="307"/>
      <c r="BJ269" s="307"/>
      <c r="BK269" s="307"/>
      <c r="BL269" s="307"/>
      <c r="BM269" s="307"/>
      <c r="BN269" s="307"/>
      <c r="BO269" s="307"/>
      <c r="BP269" s="307"/>
      <c r="BQ269" s="307"/>
      <c r="BR269" s="307"/>
      <c r="BS269" s="307"/>
      <c r="BT269" s="307"/>
      <c r="BU269" s="307"/>
      <c r="BV269" s="307"/>
      <c r="BW269" s="307"/>
      <c r="BX269" s="307"/>
      <c r="BY269" s="307"/>
      <c r="BZ269" s="307"/>
      <c r="CA269" s="307"/>
      <c r="CB269" s="307"/>
      <c r="CC269" s="307"/>
      <c r="CD269" s="307"/>
      <c r="CE269" s="307"/>
      <c r="CF269" s="307"/>
      <c r="CG269" s="307"/>
      <c r="CH269" s="307"/>
      <c r="CI269" s="307"/>
      <c r="CJ269" s="307"/>
      <c r="CK269" s="307"/>
      <c r="CL269" s="307"/>
      <c r="CM269" s="307"/>
      <c r="CN269" s="307"/>
      <c r="CO269" s="307"/>
      <c r="CP269" s="307"/>
      <c r="CQ269" s="307"/>
      <c r="CR269" s="307"/>
      <c r="CS269" s="307"/>
      <c r="CT269" s="307"/>
      <c r="CU269" s="307"/>
      <c r="CV269" s="307"/>
      <c r="CW269" s="307"/>
      <c r="CX269" s="307"/>
      <c r="CY269" s="307"/>
      <c r="CZ269" s="307"/>
      <c r="DA269" s="307"/>
      <c r="DB269" s="280"/>
      <c r="DC269" s="280"/>
      <c r="DD269" s="280"/>
      <c r="DE269" s="280"/>
      <c r="DF269" s="280"/>
      <c r="DG269" s="280"/>
      <c r="DH269" s="280"/>
      <c r="DI269" s="280"/>
      <c r="DJ269" s="280"/>
      <c r="DK269" s="280"/>
      <c r="DL269" s="280"/>
      <c r="DM269" s="280"/>
      <c r="DN269" s="280"/>
      <c r="DO269" s="280"/>
      <c r="DP269" s="280"/>
      <c r="DQ269" s="280"/>
      <c r="DR269" s="280"/>
      <c r="DS269" s="280"/>
      <c r="DT269" s="280"/>
      <c r="DU269" s="280"/>
      <c r="DV269" s="280"/>
      <c r="DW269" s="280"/>
      <c r="DX269" s="280"/>
      <c r="DY269" s="280"/>
      <c r="DZ269" s="280"/>
      <c r="EA269" s="280"/>
      <c r="EB269" s="280"/>
      <c r="EC269" s="280"/>
      <c r="ED269" s="280"/>
      <c r="EE269" s="280"/>
      <c r="EF269" s="280"/>
      <c r="EG269" s="280"/>
      <c r="EH269" s="280"/>
      <c r="EI269" s="280"/>
      <c r="EJ269" s="280"/>
      <c r="EK269" s="280"/>
      <c r="EL269" s="280"/>
      <c r="EM269" s="280"/>
      <c r="EN269" s="280"/>
      <c r="EO269" s="280"/>
      <c r="EP269" s="521"/>
      <c r="EQ269" s="521"/>
      <c r="ER269" s="521"/>
      <c r="ES269" s="521"/>
      <c r="ET269" s="521"/>
      <c r="EU269" s="521"/>
      <c r="EV269" s="521"/>
      <c r="EW269" s="521"/>
      <c r="EX269" s="521"/>
      <c r="EY269" s="521"/>
      <c r="EZ269" s="521"/>
      <c r="FA269" s="521"/>
      <c r="FB269" s="521"/>
      <c r="FC269" s="521"/>
      <c r="FD269" s="521"/>
      <c r="FE269" s="521"/>
      <c r="FF269" s="521"/>
      <c r="FG269" s="521"/>
      <c r="FH269" s="567"/>
      <c r="FI269" s="567"/>
      <c r="FJ269" s="567"/>
      <c r="FK269" s="567"/>
      <c r="FL269" s="567"/>
      <c r="FM269" s="567"/>
      <c r="FN269" s="567"/>
      <c r="FO269" s="567"/>
    </row>
    <row r="270" spans="1:171" s="568" customFormat="1" ht="13.9" customHeight="1">
      <c r="A270" s="566"/>
      <c r="B270" s="566"/>
      <c r="C270" s="566"/>
      <c r="D270" s="569"/>
      <c r="E270" s="570"/>
      <c r="F270" s="571"/>
      <c r="G270" s="571"/>
      <c r="H270" s="571"/>
      <c r="I270" s="571"/>
      <c r="J270" s="571"/>
      <c r="K270" s="572"/>
      <c r="L270" s="569"/>
      <c r="M270" s="569"/>
      <c r="N270" s="569"/>
      <c r="O270" s="569"/>
      <c r="P270" s="566"/>
      <c r="Q270" s="566"/>
      <c r="R270" s="566"/>
      <c r="S270" s="566"/>
      <c r="T270" s="566"/>
      <c r="U270" s="566"/>
      <c r="V270" s="566"/>
      <c r="W270" s="566"/>
      <c r="X270" s="553"/>
      <c r="Y270" s="553"/>
      <c r="Z270" s="553"/>
      <c r="AA270" s="554"/>
      <c r="AB270" s="550"/>
      <c r="AC270" s="550"/>
      <c r="AD270" s="550"/>
      <c r="AE270" s="307"/>
      <c r="AF270" s="307"/>
      <c r="AG270" s="307"/>
      <c r="AH270" s="307"/>
      <c r="AI270" s="307"/>
      <c r="AJ270" s="307"/>
      <c r="AK270" s="307"/>
      <c r="AL270" s="307"/>
      <c r="AM270" s="307"/>
      <c r="AN270" s="307"/>
      <c r="AO270" s="307"/>
      <c r="AP270" s="307"/>
      <c r="AQ270" s="307"/>
      <c r="AR270" s="307"/>
      <c r="AS270" s="307"/>
      <c r="AT270" s="307"/>
      <c r="AU270" s="307"/>
      <c r="AV270" s="307"/>
      <c r="AW270" s="307"/>
      <c r="AX270" s="307"/>
      <c r="AY270" s="307"/>
      <c r="AZ270" s="307"/>
      <c r="BA270" s="307"/>
      <c r="BB270" s="307"/>
      <c r="BC270" s="307"/>
      <c r="BD270" s="307"/>
      <c r="BE270" s="307"/>
      <c r="BF270" s="307"/>
      <c r="BG270" s="307"/>
      <c r="BH270" s="307"/>
      <c r="BI270" s="307"/>
      <c r="BJ270" s="307"/>
      <c r="BK270" s="307"/>
      <c r="BL270" s="307"/>
      <c r="BM270" s="307"/>
      <c r="BN270" s="307"/>
      <c r="BO270" s="307"/>
      <c r="BP270" s="307"/>
      <c r="BQ270" s="307"/>
      <c r="BR270" s="307"/>
      <c r="BS270" s="307"/>
      <c r="BT270" s="307"/>
      <c r="BU270" s="307"/>
      <c r="BV270" s="307"/>
      <c r="BW270" s="307"/>
      <c r="BX270" s="307"/>
      <c r="BY270" s="307"/>
      <c r="BZ270" s="307"/>
      <c r="CA270" s="307"/>
      <c r="CB270" s="307"/>
      <c r="CC270" s="307"/>
      <c r="CD270" s="307"/>
      <c r="CE270" s="307"/>
      <c r="CF270" s="307"/>
      <c r="CG270" s="307"/>
      <c r="CH270" s="307"/>
      <c r="CI270" s="307"/>
      <c r="CJ270" s="307"/>
      <c r="CK270" s="307"/>
      <c r="CL270" s="307"/>
      <c r="CM270" s="307"/>
      <c r="CN270" s="307"/>
      <c r="CO270" s="307"/>
      <c r="CP270" s="307"/>
      <c r="CQ270" s="307"/>
      <c r="CR270" s="307"/>
      <c r="CS270" s="307"/>
      <c r="CT270" s="307"/>
      <c r="CU270" s="307"/>
      <c r="CV270" s="307"/>
      <c r="CW270" s="307"/>
      <c r="CX270" s="307"/>
      <c r="CY270" s="307"/>
      <c r="CZ270" s="307"/>
      <c r="DA270" s="307"/>
      <c r="DB270" s="280"/>
      <c r="DC270" s="280"/>
      <c r="DD270" s="280"/>
      <c r="DE270" s="280"/>
      <c r="DF270" s="280"/>
      <c r="DG270" s="280"/>
      <c r="DH270" s="280"/>
      <c r="DI270" s="280"/>
      <c r="DJ270" s="280"/>
      <c r="DK270" s="280"/>
      <c r="DL270" s="280"/>
      <c r="DM270" s="280"/>
      <c r="DN270" s="280"/>
      <c r="DO270" s="280"/>
      <c r="DP270" s="280"/>
      <c r="DQ270" s="280"/>
      <c r="DR270" s="280"/>
      <c r="DS270" s="280"/>
      <c r="DT270" s="280"/>
      <c r="DU270" s="280"/>
      <c r="DV270" s="280"/>
      <c r="DW270" s="280"/>
      <c r="DX270" s="280"/>
      <c r="DY270" s="280"/>
      <c r="DZ270" s="280"/>
      <c r="EA270" s="280"/>
      <c r="EB270" s="280"/>
      <c r="EC270" s="280"/>
      <c r="ED270" s="280"/>
      <c r="EE270" s="280"/>
      <c r="EF270" s="280"/>
      <c r="EG270" s="280"/>
      <c r="EH270" s="280"/>
      <c r="EI270" s="280"/>
      <c r="EJ270" s="280"/>
      <c r="EK270" s="280"/>
      <c r="EL270" s="280"/>
      <c r="EM270" s="280"/>
      <c r="EN270" s="280"/>
      <c r="EO270" s="280"/>
      <c r="EP270" s="521"/>
      <c r="EQ270" s="521"/>
      <c r="ER270" s="521"/>
      <c r="ES270" s="521"/>
      <c r="ET270" s="521"/>
      <c r="EU270" s="521"/>
      <c r="EV270" s="521"/>
      <c r="EW270" s="521"/>
      <c r="EX270" s="521"/>
      <c r="EY270" s="521"/>
      <c r="EZ270" s="521"/>
      <c r="FA270" s="521"/>
      <c r="FB270" s="521"/>
      <c r="FC270" s="521"/>
      <c r="FD270" s="521"/>
      <c r="FE270" s="521"/>
      <c r="FF270" s="521"/>
      <c r="FG270" s="521"/>
      <c r="FH270" s="567"/>
      <c r="FI270" s="567"/>
      <c r="FJ270" s="567"/>
      <c r="FK270" s="567"/>
      <c r="FL270" s="567"/>
      <c r="FM270" s="567"/>
      <c r="FN270" s="567"/>
      <c r="FO270" s="567"/>
    </row>
    <row r="271" spans="1:171" s="568" customFormat="1" ht="13.9" customHeight="1">
      <c r="A271" s="566"/>
      <c r="B271" s="566"/>
      <c r="C271" s="566"/>
      <c r="D271" s="569"/>
      <c r="E271" s="570"/>
      <c r="F271" s="571"/>
      <c r="G271" s="571"/>
      <c r="H271" s="571"/>
      <c r="I271" s="571"/>
      <c r="J271" s="571"/>
      <c r="K271" s="572"/>
      <c r="L271" s="569"/>
      <c r="M271" s="569"/>
      <c r="N271" s="569"/>
      <c r="O271" s="569"/>
      <c r="P271" s="566"/>
      <c r="Q271" s="566"/>
      <c r="R271" s="566"/>
      <c r="S271" s="566"/>
      <c r="T271" s="566"/>
      <c r="U271" s="566"/>
      <c r="V271" s="566"/>
      <c r="W271" s="566"/>
      <c r="X271" s="553"/>
      <c r="Y271" s="553"/>
      <c r="Z271" s="553"/>
      <c r="AA271" s="554"/>
      <c r="AB271" s="550"/>
      <c r="AC271" s="550"/>
      <c r="AD271" s="550"/>
      <c r="AE271" s="307"/>
      <c r="AF271" s="307"/>
      <c r="AG271" s="307"/>
      <c r="AH271" s="307"/>
      <c r="AI271" s="307"/>
      <c r="AJ271" s="307"/>
      <c r="AK271" s="307"/>
      <c r="AL271" s="307"/>
      <c r="AM271" s="307"/>
      <c r="AN271" s="307"/>
      <c r="AO271" s="307"/>
      <c r="AP271" s="307"/>
      <c r="AQ271" s="307"/>
      <c r="AR271" s="307"/>
      <c r="AS271" s="307"/>
      <c r="AT271" s="307"/>
      <c r="AU271" s="307"/>
      <c r="AV271" s="307"/>
      <c r="AW271" s="307"/>
      <c r="AX271" s="307"/>
      <c r="AY271" s="307"/>
      <c r="AZ271" s="307"/>
      <c r="BA271" s="307"/>
      <c r="BB271" s="307"/>
      <c r="BC271" s="307"/>
      <c r="BD271" s="307"/>
      <c r="BE271" s="307"/>
      <c r="BF271" s="307"/>
      <c r="BG271" s="307"/>
      <c r="BH271" s="307"/>
      <c r="BI271" s="307"/>
      <c r="BJ271" s="307"/>
      <c r="BK271" s="307"/>
      <c r="BL271" s="307"/>
      <c r="BM271" s="307"/>
      <c r="BN271" s="307"/>
      <c r="BO271" s="307"/>
      <c r="BP271" s="307"/>
      <c r="BQ271" s="307"/>
      <c r="BR271" s="307"/>
      <c r="BS271" s="307"/>
      <c r="BT271" s="307"/>
      <c r="BU271" s="307"/>
      <c r="BV271" s="307"/>
      <c r="BW271" s="307"/>
      <c r="BX271" s="307"/>
      <c r="BY271" s="307"/>
      <c r="BZ271" s="307"/>
      <c r="CA271" s="307"/>
      <c r="CB271" s="307"/>
      <c r="CC271" s="307"/>
      <c r="CD271" s="307"/>
      <c r="CE271" s="307"/>
      <c r="CF271" s="307"/>
      <c r="CG271" s="307"/>
      <c r="CH271" s="307"/>
      <c r="CI271" s="307"/>
      <c r="CJ271" s="307"/>
      <c r="CK271" s="307"/>
      <c r="CL271" s="307"/>
      <c r="CM271" s="307"/>
      <c r="CN271" s="307"/>
      <c r="CO271" s="307"/>
      <c r="CP271" s="307"/>
      <c r="CQ271" s="307"/>
      <c r="CR271" s="307"/>
      <c r="CS271" s="307"/>
      <c r="CT271" s="307"/>
      <c r="CU271" s="307"/>
      <c r="CV271" s="307"/>
      <c r="CW271" s="307"/>
      <c r="CX271" s="307"/>
      <c r="CY271" s="307"/>
      <c r="CZ271" s="307"/>
      <c r="DA271" s="307"/>
      <c r="DB271" s="280"/>
      <c r="DC271" s="280"/>
      <c r="DD271" s="280"/>
      <c r="DE271" s="280"/>
      <c r="DF271" s="280"/>
      <c r="DG271" s="280"/>
      <c r="DH271" s="280"/>
      <c r="DI271" s="280"/>
      <c r="DJ271" s="280"/>
      <c r="DK271" s="280"/>
      <c r="DL271" s="280"/>
      <c r="DM271" s="280"/>
      <c r="DN271" s="280"/>
      <c r="DO271" s="280"/>
      <c r="DP271" s="280"/>
      <c r="DQ271" s="280"/>
      <c r="DR271" s="280"/>
      <c r="DS271" s="280"/>
      <c r="DT271" s="280"/>
      <c r="DU271" s="280"/>
      <c r="DV271" s="280"/>
      <c r="DW271" s="280"/>
      <c r="DX271" s="280"/>
      <c r="DY271" s="280"/>
      <c r="DZ271" s="280"/>
      <c r="EA271" s="280"/>
      <c r="EB271" s="280"/>
      <c r="EC271" s="280"/>
      <c r="ED271" s="280"/>
      <c r="EE271" s="280"/>
      <c r="EF271" s="280"/>
      <c r="EG271" s="280"/>
      <c r="EH271" s="280"/>
      <c r="EI271" s="280"/>
      <c r="EJ271" s="280"/>
      <c r="EK271" s="280"/>
      <c r="EL271" s="280"/>
      <c r="EM271" s="280"/>
      <c r="EN271" s="280"/>
      <c r="EO271" s="280"/>
      <c r="EP271" s="521"/>
      <c r="EQ271" s="521"/>
      <c r="ER271" s="521"/>
      <c r="ES271" s="521"/>
      <c r="ET271" s="521"/>
      <c r="EU271" s="521"/>
      <c r="EV271" s="521"/>
      <c r="EW271" s="521"/>
      <c r="EX271" s="521"/>
      <c r="EY271" s="521"/>
      <c r="EZ271" s="521"/>
      <c r="FA271" s="521"/>
      <c r="FB271" s="521"/>
      <c r="FC271" s="521"/>
      <c r="FD271" s="521"/>
      <c r="FE271" s="521"/>
      <c r="FF271" s="521"/>
      <c r="FG271" s="521"/>
      <c r="FH271" s="567"/>
      <c r="FI271" s="567"/>
      <c r="FJ271" s="567"/>
      <c r="FK271" s="567"/>
      <c r="FL271" s="567"/>
      <c r="FM271" s="567"/>
      <c r="FN271" s="567"/>
      <c r="FO271" s="567"/>
    </row>
    <row r="272" spans="1:171" s="568" customFormat="1" ht="13.9" customHeight="1">
      <c r="A272" s="566"/>
      <c r="B272" s="566"/>
      <c r="C272" s="566"/>
      <c r="D272" s="569"/>
      <c r="E272" s="570"/>
      <c r="F272" s="571"/>
      <c r="G272" s="571"/>
      <c r="H272" s="571"/>
      <c r="I272" s="571"/>
      <c r="J272" s="571"/>
      <c r="K272" s="572"/>
      <c r="L272" s="569"/>
      <c r="M272" s="569"/>
      <c r="N272" s="569"/>
      <c r="O272" s="569"/>
      <c r="P272" s="566"/>
      <c r="Q272" s="566"/>
      <c r="R272" s="566"/>
      <c r="S272" s="566"/>
      <c r="T272" s="566"/>
      <c r="U272" s="566"/>
      <c r="V272" s="566"/>
      <c r="W272" s="566"/>
      <c r="X272" s="553"/>
      <c r="Y272" s="553"/>
      <c r="Z272" s="553"/>
      <c r="AA272" s="554"/>
      <c r="AB272" s="550"/>
      <c r="AC272" s="550"/>
      <c r="AD272" s="550"/>
      <c r="AE272" s="307"/>
      <c r="AF272" s="307"/>
      <c r="AG272" s="307"/>
      <c r="AH272" s="307"/>
      <c r="AI272" s="307"/>
      <c r="AJ272" s="307"/>
      <c r="AK272" s="307"/>
      <c r="AL272" s="307"/>
      <c r="AM272" s="307"/>
      <c r="AN272" s="307"/>
      <c r="AO272" s="307"/>
      <c r="AP272" s="307"/>
      <c r="AQ272" s="307"/>
      <c r="AR272" s="307"/>
      <c r="AS272" s="307"/>
      <c r="AT272" s="307"/>
      <c r="AU272" s="307"/>
      <c r="AV272" s="307"/>
      <c r="AW272" s="307"/>
      <c r="AX272" s="307"/>
      <c r="AY272" s="307"/>
      <c r="AZ272" s="307"/>
      <c r="BA272" s="307"/>
      <c r="BB272" s="307"/>
      <c r="BC272" s="307"/>
      <c r="BD272" s="307"/>
      <c r="BE272" s="307"/>
      <c r="BF272" s="307"/>
      <c r="BG272" s="307"/>
      <c r="BH272" s="307"/>
      <c r="BI272" s="307"/>
      <c r="BJ272" s="307"/>
      <c r="BK272" s="307"/>
      <c r="BL272" s="307"/>
      <c r="BM272" s="307"/>
      <c r="BN272" s="307"/>
      <c r="BO272" s="307"/>
      <c r="BP272" s="307"/>
      <c r="BQ272" s="307"/>
      <c r="BR272" s="307"/>
      <c r="BS272" s="307"/>
      <c r="BT272" s="307"/>
      <c r="BU272" s="307"/>
      <c r="BV272" s="307"/>
      <c r="BW272" s="307"/>
      <c r="BX272" s="307"/>
      <c r="BY272" s="307"/>
      <c r="BZ272" s="307"/>
      <c r="CA272" s="307"/>
      <c r="CB272" s="307"/>
      <c r="CC272" s="307"/>
      <c r="CD272" s="307"/>
      <c r="CE272" s="307"/>
      <c r="CF272" s="307"/>
      <c r="CG272" s="307"/>
      <c r="CH272" s="307"/>
      <c r="CI272" s="307"/>
      <c r="CJ272" s="307"/>
      <c r="CK272" s="307"/>
      <c r="CL272" s="307"/>
      <c r="CM272" s="307"/>
      <c r="CN272" s="307"/>
      <c r="CO272" s="307"/>
      <c r="CP272" s="307"/>
      <c r="CQ272" s="307"/>
      <c r="CR272" s="307"/>
      <c r="CS272" s="307"/>
      <c r="CT272" s="307"/>
      <c r="CU272" s="307"/>
      <c r="CV272" s="307"/>
      <c r="CW272" s="307"/>
      <c r="CX272" s="307"/>
      <c r="CY272" s="307"/>
      <c r="CZ272" s="307"/>
      <c r="DA272" s="307"/>
      <c r="DB272" s="280"/>
      <c r="DC272" s="280"/>
      <c r="DD272" s="280"/>
      <c r="DE272" s="280"/>
      <c r="DF272" s="280"/>
      <c r="DG272" s="280"/>
      <c r="DH272" s="280"/>
      <c r="DI272" s="280"/>
      <c r="DJ272" s="280"/>
      <c r="DK272" s="280"/>
      <c r="DL272" s="280"/>
      <c r="DM272" s="280"/>
      <c r="DN272" s="280"/>
      <c r="DO272" s="280"/>
      <c r="DP272" s="280"/>
      <c r="DQ272" s="280"/>
      <c r="DR272" s="280"/>
      <c r="DS272" s="280"/>
      <c r="DT272" s="280"/>
      <c r="DU272" s="280"/>
      <c r="DV272" s="280"/>
      <c r="DW272" s="280"/>
      <c r="DX272" s="280"/>
      <c r="DY272" s="280"/>
      <c r="DZ272" s="280"/>
      <c r="EA272" s="280"/>
      <c r="EB272" s="280"/>
      <c r="EC272" s="280"/>
      <c r="ED272" s="280"/>
      <c r="EE272" s="280"/>
      <c r="EF272" s="280"/>
      <c r="EG272" s="280"/>
      <c r="EH272" s="280"/>
      <c r="EI272" s="280"/>
      <c r="EJ272" s="280"/>
      <c r="EK272" s="280"/>
      <c r="EL272" s="280"/>
      <c r="EM272" s="280"/>
      <c r="EN272" s="280"/>
      <c r="EO272" s="280"/>
      <c r="EP272" s="521"/>
      <c r="EQ272" s="521"/>
      <c r="ER272" s="521"/>
      <c r="ES272" s="521"/>
      <c r="ET272" s="521"/>
      <c r="EU272" s="521"/>
      <c r="EV272" s="521"/>
      <c r="EW272" s="521"/>
      <c r="EX272" s="521"/>
      <c r="EY272" s="521"/>
      <c r="EZ272" s="521"/>
      <c r="FA272" s="521"/>
      <c r="FB272" s="521"/>
      <c r="FC272" s="521"/>
      <c r="FD272" s="521"/>
      <c r="FE272" s="521"/>
      <c r="FF272" s="521"/>
      <c r="FG272" s="521"/>
      <c r="FH272" s="567"/>
      <c r="FI272" s="567"/>
      <c r="FJ272" s="567"/>
      <c r="FK272" s="567"/>
      <c r="FL272" s="567"/>
      <c r="FM272" s="567"/>
      <c r="FN272" s="567"/>
      <c r="FO272" s="567"/>
    </row>
    <row r="273" spans="1:171" s="568" customFormat="1" ht="13.9" customHeight="1">
      <c r="A273" s="566"/>
      <c r="B273" s="566"/>
      <c r="C273" s="566"/>
      <c r="D273" s="569"/>
      <c r="E273" s="570"/>
      <c r="F273" s="571"/>
      <c r="G273" s="571"/>
      <c r="H273" s="571"/>
      <c r="I273" s="571"/>
      <c r="J273" s="571"/>
      <c r="K273" s="572"/>
      <c r="L273" s="569"/>
      <c r="M273" s="569"/>
      <c r="N273" s="569"/>
      <c r="O273" s="569"/>
      <c r="P273" s="566"/>
      <c r="Q273" s="566"/>
      <c r="R273" s="566"/>
      <c r="S273" s="566"/>
      <c r="T273" s="566"/>
      <c r="U273" s="566"/>
      <c r="V273" s="566"/>
      <c r="W273" s="566"/>
      <c r="X273" s="553"/>
      <c r="Y273" s="553"/>
      <c r="Z273" s="553"/>
      <c r="AA273" s="554"/>
      <c r="AB273" s="550"/>
      <c r="AC273" s="550"/>
      <c r="AD273" s="550"/>
      <c r="AE273" s="307"/>
      <c r="AF273" s="307"/>
      <c r="AG273" s="307"/>
      <c r="AH273" s="307"/>
      <c r="AI273" s="307"/>
      <c r="AJ273" s="307"/>
      <c r="AK273" s="307"/>
      <c r="AL273" s="307"/>
      <c r="AM273" s="307"/>
      <c r="AN273" s="307"/>
      <c r="AO273" s="307"/>
      <c r="AP273" s="307"/>
      <c r="AQ273" s="307"/>
      <c r="AR273" s="307"/>
      <c r="AS273" s="307"/>
      <c r="AT273" s="307"/>
      <c r="AU273" s="307"/>
      <c r="AV273" s="307"/>
      <c r="AW273" s="307"/>
      <c r="AX273" s="307"/>
      <c r="AY273" s="307"/>
      <c r="AZ273" s="307"/>
      <c r="BA273" s="307"/>
      <c r="BB273" s="307"/>
      <c r="BC273" s="307"/>
      <c r="BD273" s="307"/>
      <c r="BE273" s="307"/>
      <c r="BF273" s="307"/>
      <c r="BG273" s="307"/>
      <c r="BH273" s="307"/>
      <c r="BI273" s="307"/>
      <c r="BJ273" s="307"/>
      <c r="BK273" s="307"/>
      <c r="BL273" s="307"/>
      <c r="BM273" s="307"/>
      <c r="BN273" s="307"/>
      <c r="BO273" s="307"/>
      <c r="BP273" s="307"/>
      <c r="BQ273" s="307"/>
      <c r="BR273" s="307"/>
      <c r="BS273" s="307"/>
      <c r="BT273" s="307"/>
      <c r="BU273" s="307"/>
      <c r="BV273" s="307"/>
      <c r="BW273" s="307"/>
      <c r="BX273" s="307"/>
      <c r="BY273" s="307"/>
      <c r="BZ273" s="307"/>
      <c r="CA273" s="307"/>
      <c r="CB273" s="307"/>
      <c r="CC273" s="307"/>
      <c r="CD273" s="307"/>
      <c r="CE273" s="307"/>
      <c r="CF273" s="307"/>
      <c r="CG273" s="307"/>
      <c r="CH273" s="307"/>
      <c r="CI273" s="307"/>
      <c r="CJ273" s="307"/>
      <c r="CK273" s="307"/>
      <c r="CL273" s="307"/>
      <c r="CM273" s="307"/>
      <c r="CN273" s="307"/>
      <c r="CO273" s="307"/>
      <c r="CP273" s="307"/>
      <c r="CQ273" s="307"/>
      <c r="CR273" s="307"/>
      <c r="CS273" s="307"/>
      <c r="CT273" s="307"/>
      <c r="CU273" s="307"/>
      <c r="CV273" s="307"/>
      <c r="CW273" s="307"/>
      <c r="CX273" s="307"/>
      <c r="CY273" s="307"/>
      <c r="CZ273" s="307"/>
      <c r="DA273" s="307"/>
      <c r="DB273" s="280"/>
      <c r="DC273" s="280"/>
      <c r="DD273" s="280"/>
      <c r="DE273" s="280"/>
      <c r="DF273" s="280"/>
      <c r="DG273" s="280"/>
      <c r="DH273" s="280"/>
      <c r="DI273" s="280"/>
      <c r="DJ273" s="280"/>
      <c r="DK273" s="280"/>
      <c r="DL273" s="280"/>
      <c r="DM273" s="280"/>
      <c r="DN273" s="280"/>
      <c r="DO273" s="280"/>
      <c r="DP273" s="280"/>
      <c r="DQ273" s="280"/>
      <c r="DR273" s="280"/>
      <c r="DS273" s="280"/>
      <c r="DT273" s="280"/>
      <c r="DU273" s="280"/>
      <c r="DV273" s="280"/>
      <c r="DW273" s="280"/>
      <c r="DX273" s="280"/>
      <c r="DY273" s="280"/>
      <c r="DZ273" s="280"/>
      <c r="EA273" s="280"/>
      <c r="EB273" s="280"/>
      <c r="EC273" s="280"/>
      <c r="ED273" s="280"/>
      <c r="EE273" s="280"/>
      <c r="EF273" s="280"/>
      <c r="EG273" s="280"/>
      <c r="EH273" s="280"/>
      <c r="EI273" s="280"/>
      <c r="EJ273" s="280"/>
      <c r="EK273" s="280"/>
      <c r="EL273" s="280"/>
      <c r="EM273" s="280"/>
      <c r="EN273" s="280"/>
      <c r="EO273" s="280"/>
      <c r="EP273" s="521"/>
      <c r="EQ273" s="521"/>
      <c r="ER273" s="521"/>
      <c r="ES273" s="521"/>
      <c r="ET273" s="521"/>
      <c r="EU273" s="521"/>
      <c r="EV273" s="521"/>
      <c r="EW273" s="521"/>
      <c r="EX273" s="521"/>
      <c r="EY273" s="521"/>
      <c r="EZ273" s="521"/>
      <c r="FA273" s="521"/>
      <c r="FB273" s="521"/>
      <c r="FC273" s="521"/>
      <c r="FD273" s="521"/>
      <c r="FE273" s="521"/>
      <c r="FF273" s="521"/>
      <c r="FG273" s="521"/>
      <c r="FH273" s="567"/>
      <c r="FI273" s="567"/>
      <c r="FJ273" s="567"/>
      <c r="FK273" s="567"/>
      <c r="FL273" s="567"/>
      <c r="FM273" s="567"/>
      <c r="FN273" s="567"/>
      <c r="FO273" s="567"/>
    </row>
    <row r="274" spans="1:171" s="568" customFormat="1" ht="13.9" customHeight="1">
      <c r="A274" s="566"/>
      <c r="B274" s="566"/>
      <c r="C274" s="566"/>
      <c r="D274" s="569"/>
      <c r="E274" s="570"/>
      <c r="F274" s="571"/>
      <c r="G274" s="571"/>
      <c r="H274" s="571"/>
      <c r="I274" s="571"/>
      <c r="J274" s="571"/>
      <c r="K274" s="572"/>
      <c r="L274" s="569"/>
      <c r="M274" s="569"/>
      <c r="N274" s="569"/>
      <c r="O274" s="569"/>
      <c r="P274" s="566"/>
      <c r="Q274" s="566"/>
      <c r="R274" s="566"/>
      <c r="S274" s="566"/>
      <c r="T274" s="566"/>
      <c r="U274" s="566"/>
      <c r="V274" s="566"/>
      <c r="W274" s="566"/>
      <c r="X274" s="553"/>
      <c r="Y274" s="553"/>
      <c r="Z274" s="553"/>
      <c r="AA274" s="554"/>
      <c r="AB274" s="550"/>
      <c r="AC274" s="550"/>
      <c r="AD274" s="550"/>
      <c r="AE274" s="307"/>
      <c r="AF274" s="307"/>
      <c r="AG274" s="307"/>
      <c r="AH274" s="307"/>
      <c r="AI274" s="307"/>
      <c r="AJ274" s="307"/>
      <c r="AK274" s="307"/>
      <c r="AL274" s="307"/>
      <c r="AM274" s="307"/>
      <c r="AN274" s="307"/>
      <c r="AO274" s="307"/>
      <c r="AP274" s="307"/>
      <c r="AQ274" s="307"/>
      <c r="AR274" s="307"/>
      <c r="AS274" s="307"/>
      <c r="AT274" s="307"/>
      <c r="AU274" s="307"/>
      <c r="AV274" s="307"/>
      <c r="AW274" s="307"/>
      <c r="AX274" s="307"/>
      <c r="AY274" s="307"/>
      <c r="AZ274" s="307"/>
      <c r="BA274" s="307"/>
      <c r="BB274" s="307"/>
      <c r="BC274" s="307"/>
      <c r="BD274" s="307"/>
      <c r="BE274" s="307"/>
      <c r="BF274" s="307"/>
      <c r="BG274" s="307"/>
      <c r="BH274" s="307"/>
      <c r="BI274" s="307"/>
      <c r="BJ274" s="307"/>
      <c r="BK274" s="307"/>
      <c r="BL274" s="307"/>
      <c r="BM274" s="307"/>
      <c r="BN274" s="307"/>
      <c r="BO274" s="307"/>
      <c r="BP274" s="307"/>
      <c r="BQ274" s="307"/>
      <c r="BR274" s="307"/>
      <c r="BS274" s="307"/>
      <c r="BT274" s="307"/>
      <c r="BU274" s="307"/>
      <c r="BV274" s="307"/>
      <c r="BW274" s="307"/>
      <c r="BX274" s="307"/>
      <c r="BY274" s="307"/>
      <c r="BZ274" s="307"/>
      <c r="CA274" s="307"/>
      <c r="CB274" s="307"/>
      <c r="CC274" s="307"/>
      <c r="CD274" s="307"/>
      <c r="CE274" s="307"/>
      <c r="CF274" s="307"/>
      <c r="CG274" s="307"/>
      <c r="CH274" s="307"/>
      <c r="CI274" s="307"/>
      <c r="CJ274" s="307"/>
      <c r="CK274" s="307"/>
      <c r="CL274" s="307"/>
      <c r="CM274" s="307"/>
      <c r="CN274" s="307"/>
      <c r="CO274" s="307"/>
      <c r="CP274" s="307"/>
      <c r="CQ274" s="307"/>
      <c r="CR274" s="307"/>
      <c r="CS274" s="307"/>
      <c r="CT274" s="307"/>
      <c r="CU274" s="307"/>
      <c r="CV274" s="307"/>
      <c r="CW274" s="307"/>
      <c r="CX274" s="307"/>
      <c r="CY274" s="307"/>
      <c r="CZ274" s="307"/>
      <c r="DA274" s="307"/>
      <c r="DB274" s="280"/>
      <c r="DC274" s="280"/>
      <c r="DD274" s="280"/>
      <c r="DE274" s="280"/>
      <c r="DF274" s="280"/>
      <c r="DG274" s="280"/>
      <c r="DH274" s="280"/>
      <c r="DI274" s="280"/>
      <c r="DJ274" s="280"/>
      <c r="DK274" s="280"/>
      <c r="DL274" s="280"/>
      <c r="DM274" s="280"/>
      <c r="DN274" s="280"/>
      <c r="DO274" s="280"/>
      <c r="DP274" s="280"/>
      <c r="DQ274" s="280"/>
      <c r="DR274" s="280"/>
      <c r="DS274" s="280"/>
      <c r="DT274" s="280"/>
      <c r="DU274" s="280"/>
      <c r="DV274" s="280"/>
      <c r="DW274" s="280"/>
      <c r="DX274" s="280"/>
      <c r="DY274" s="280"/>
      <c r="DZ274" s="280"/>
      <c r="EA274" s="280"/>
      <c r="EB274" s="280"/>
      <c r="EC274" s="280"/>
      <c r="ED274" s="280"/>
      <c r="EE274" s="280"/>
      <c r="EF274" s="280"/>
      <c r="EG274" s="280"/>
      <c r="EH274" s="280"/>
      <c r="EI274" s="280"/>
      <c r="EJ274" s="280"/>
      <c r="EK274" s="280"/>
      <c r="EL274" s="280"/>
      <c r="EM274" s="280"/>
      <c r="EN274" s="280"/>
      <c r="EO274" s="280"/>
      <c r="EP274" s="521"/>
      <c r="EQ274" s="521"/>
      <c r="ER274" s="521"/>
      <c r="ES274" s="521"/>
      <c r="ET274" s="521"/>
      <c r="EU274" s="521"/>
      <c r="EV274" s="521"/>
      <c r="EW274" s="521"/>
      <c r="EX274" s="521"/>
      <c r="EY274" s="521"/>
      <c r="EZ274" s="521"/>
      <c r="FA274" s="521"/>
      <c r="FB274" s="521"/>
      <c r="FC274" s="521"/>
      <c r="FD274" s="521"/>
      <c r="FE274" s="521"/>
      <c r="FF274" s="521"/>
      <c r="FG274" s="521"/>
      <c r="FH274" s="567"/>
      <c r="FI274" s="567"/>
      <c r="FJ274" s="567"/>
      <c r="FK274" s="567"/>
      <c r="FL274" s="567"/>
      <c r="FM274" s="567"/>
      <c r="FN274" s="567"/>
      <c r="FO274" s="567"/>
    </row>
    <row r="275" spans="1:171" s="568" customFormat="1" ht="13.9" customHeight="1">
      <c r="A275" s="566"/>
      <c r="B275" s="566"/>
      <c r="C275" s="566"/>
      <c r="D275" s="569"/>
      <c r="E275" s="570"/>
      <c r="F275" s="571"/>
      <c r="G275" s="571"/>
      <c r="H275" s="571"/>
      <c r="I275" s="571"/>
      <c r="J275" s="571"/>
      <c r="K275" s="572"/>
      <c r="L275" s="569"/>
      <c r="M275" s="569"/>
      <c r="N275" s="569"/>
      <c r="O275" s="569"/>
      <c r="P275" s="566"/>
      <c r="Q275" s="566"/>
      <c r="R275" s="566"/>
      <c r="S275" s="566"/>
      <c r="T275" s="566"/>
      <c r="U275" s="566"/>
      <c r="V275" s="566"/>
      <c r="W275" s="566"/>
      <c r="X275" s="553"/>
      <c r="Y275" s="553"/>
      <c r="Z275" s="553"/>
      <c r="AA275" s="554"/>
      <c r="AB275" s="550"/>
      <c r="AC275" s="550"/>
      <c r="AD275" s="550"/>
      <c r="AE275" s="307"/>
      <c r="AF275" s="307"/>
      <c r="AG275" s="307"/>
      <c r="AH275" s="307"/>
      <c r="AI275" s="307"/>
      <c r="AJ275" s="307"/>
      <c r="AK275" s="307"/>
      <c r="AL275" s="307"/>
      <c r="AM275" s="307"/>
      <c r="AN275" s="307"/>
      <c r="AO275" s="307"/>
      <c r="AP275" s="307"/>
      <c r="AQ275" s="307"/>
      <c r="AR275" s="307"/>
      <c r="AS275" s="307"/>
      <c r="AT275" s="307"/>
      <c r="AU275" s="307"/>
      <c r="AV275" s="307"/>
      <c r="AW275" s="307"/>
      <c r="AX275" s="307"/>
      <c r="AY275" s="307"/>
      <c r="AZ275" s="307"/>
      <c r="BA275" s="307"/>
      <c r="BB275" s="307"/>
      <c r="BC275" s="307"/>
      <c r="BD275" s="307"/>
      <c r="BE275" s="307"/>
      <c r="BF275" s="307"/>
      <c r="BG275" s="307"/>
      <c r="BH275" s="307"/>
      <c r="BI275" s="307"/>
      <c r="BJ275" s="307"/>
      <c r="BK275" s="307"/>
      <c r="BL275" s="307"/>
      <c r="BM275" s="307"/>
      <c r="BN275" s="307"/>
      <c r="BO275" s="307"/>
      <c r="BP275" s="307"/>
      <c r="BQ275" s="307"/>
      <c r="BR275" s="307"/>
      <c r="BS275" s="307"/>
      <c r="BT275" s="307"/>
      <c r="BU275" s="307"/>
      <c r="BV275" s="307"/>
      <c r="BW275" s="307"/>
      <c r="BX275" s="307"/>
      <c r="BY275" s="307"/>
      <c r="BZ275" s="307"/>
      <c r="CA275" s="307"/>
      <c r="CB275" s="307"/>
      <c r="CC275" s="307"/>
      <c r="CD275" s="307"/>
      <c r="CE275" s="307"/>
      <c r="CF275" s="307"/>
      <c r="CG275" s="307"/>
      <c r="CH275" s="307"/>
      <c r="CI275" s="307"/>
      <c r="CJ275" s="307"/>
      <c r="CK275" s="307"/>
      <c r="CL275" s="307"/>
      <c r="CM275" s="307"/>
      <c r="CN275" s="307"/>
      <c r="CO275" s="307"/>
      <c r="CP275" s="307"/>
      <c r="CQ275" s="307"/>
      <c r="CR275" s="307"/>
      <c r="CS275" s="307"/>
      <c r="CT275" s="307"/>
      <c r="CU275" s="307"/>
      <c r="CV275" s="307"/>
      <c r="CW275" s="307"/>
      <c r="CX275" s="307"/>
      <c r="CY275" s="307"/>
      <c r="CZ275" s="307"/>
      <c r="DA275" s="307"/>
      <c r="DB275" s="280"/>
      <c r="DC275" s="280"/>
      <c r="DD275" s="280"/>
      <c r="DE275" s="280"/>
      <c r="DF275" s="280"/>
      <c r="DG275" s="280"/>
      <c r="DH275" s="280"/>
      <c r="DI275" s="280"/>
      <c r="DJ275" s="280"/>
      <c r="DK275" s="280"/>
      <c r="DL275" s="280"/>
      <c r="DM275" s="280"/>
      <c r="DN275" s="280"/>
      <c r="DO275" s="280"/>
      <c r="DP275" s="280"/>
      <c r="DQ275" s="280"/>
      <c r="DR275" s="280"/>
      <c r="DS275" s="280"/>
      <c r="DT275" s="280"/>
      <c r="DU275" s="280"/>
      <c r="DV275" s="280"/>
      <c r="DW275" s="280"/>
      <c r="DX275" s="280"/>
      <c r="DY275" s="280"/>
      <c r="DZ275" s="280"/>
      <c r="EA275" s="280"/>
      <c r="EB275" s="280"/>
      <c r="EC275" s="280"/>
      <c r="ED275" s="280"/>
      <c r="EE275" s="280"/>
      <c r="EF275" s="280"/>
      <c r="EG275" s="280"/>
      <c r="EH275" s="280"/>
      <c r="EI275" s="280"/>
      <c r="EJ275" s="280"/>
      <c r="EK275" s="280"/>
      <c r="EL275" s="280"/>
      <c r="EM275" s="280"/>
      <c r="EN275" s="280"/>
      <c r="EO275" s="280"/>
      <c r="EP275" s="521"/>
      <c r="EQ275" s="521"/>
      <c r="ER275" s="521"/>
      <c r="ES275" s="521"/>
      <c r="ET275" s="521"/>
      <c r="EU275" s="521"/>
      <c r="EV275" s="521"/>
      <c r="EW275" s="521"/>
      <c r="EX275" s="521"/>
      <c r="EY275" s="521"/>
      <c r="EZ275" s="521"/>
      <c r="FA275" s="521"/>
      <c r="FB275" s="521"/>
      <c r="FC275" s="521"/>
      <c r="FD275" s="521"/>
      <c r="FE275" s="521"/>
      <c r="FF275" s="521"/>
      <c r="FG275" s="521"/>
      <c r="FH275" s="567"/>
      <c r="FI275" s="567"/>
      <c r="FJ275" s="567"/>
      <c r="FK275" s="567"/>
      <c r="FL275" s="567"/>
      <c r="FM275" s="567"/>
      <c r="FN275" s="567"/>
      <c r="FO275" s="567"/>
    </row>
    <row r="276" spans="1:171" s="568" customFormat="1" ht="13.9" customHeight="1">
      <c r="A276" s="566"/>
      <c r="B276" s="566"/>
      <c r="C276" s="566"/>
      <c r="D276" s="569"/>
      <c r="E276" s="570"/>
      <c r="F276" s="571"/>
      <c r="G276" s="571"/>
      <c r="H276" s="571"/>
      <c r="I276" s="571"/>
      <c r="J276" s="571"/>
      <c r="K276" s="572"/>
      <c r="L276" s="569"/>
      <c r="M276" s="569"/>
      <c r="N276" s="569"/>
      <c r="O276" s="569"/>
      <c r="P276" s="566"/>
      <c r="Q276" s="566"/>
      <c r="R276" s="566"/>
      <c r="S276" s="566"/>
      <c r="T276" s="566"/>
      <c r="U276" s="566"/>
      <c r="V276" s="566"/>
      <c r="W276" s="566"/>
      <c r="X276" s="553"/>
      <c r="Y276" s="553"/>
      <c r="Z276" s="553"/>
      <c r="AA276" s="554"/>
      <c r="AB276" s="550"/>
      <c r="AC276" s="550"/>
      <c r="AD276" s="550"/>
      <c r="AE276" s="307"/>
      <c r="AF276" s="307"/>
      <c r="AG276" s="307"/>
      <c r="AH276" s="307"/>
      <c r="AI276" s="307"/>
      <c r="AJ276" s="307"/>
      <c r="AK276" s="307"/>
      <c r="AL276" s="307"/>
      <c r="AM276" s="307"/>
      <c r="AN276" s="307"/>
      <c r="AO276" s="307"/>
      <c r="AP276" s="307"/>
      <c r="AQ276" s="307"/>
      <c r="AR276" s="307"/>
      <c r="AS276" s="307"/>
      <c r="AT276" s="307"/>
      <c r="AU276" s="307"/>
      <c r="AV276" s="307"/>
      <c r="AW276" s="307"/>
      <c r="AX276" s="307"/>
      <c r="AY276" s="307"/>
      <c r="AZ276" s="307"/>
      <c r="BA276" s="307"/>
      <c r="BB276" s="307"/>
      <c r="BC276" s="307"/>
      <c r="BD276" s="307"/>
      <c r="BE276" s="307"/>
      <c r="BF276" s="307"/>
      <c r="BG276" s="307"/>
      <c r="BH276" s="307"/>
      <c r="BI276" s="307"/>
      <c r="BJ276" s="307"/>
      <c r="BK276" s="307"/>
      <c r="BL276" s="307"/>
      <c r="BM276" s="307"/>
      <c r="BN276" s="307"/>
      <c r="BO276" s="307"/>
      <c r="BP276" s="307"/>
      <c r="BQ276" s="307"/>
      <c r="BR276" s="307"/>
      <c r="BS276" s="307"/>
      <c r="BT276" s="307"/>
      <c r="BU276" s="307"/>
      <c r="BV276" s="307"/>
      <c r="BW276" s="307"/>
      <c r="BX276" s="307"/>
      <c r="BY276" s="307"/>
      <c r="BZ276" s="307"/>
      <c r="CA276" s="307"/>
      <c r="CB276" s="307"/>
      <c r="CC276" s="307"/>
      <c r="CD276" s="307"/>
      <c r="CE276" s="307"/>
      <c r="CF276" s="307"/>
      <c r="CG276" s="307"/>
      <c r="CH276" s="307"/>
      <c r="CI276" s="307"/>
      <c r="CJ276" s="307"/>
      <c r="CK276" s="307"/>
      <c r="CL276" s="307"/>
      <c r="CM276" s="307"/>
      <c r="CN276" s="307"/>
      <c r="CO276" s="307"/>
      <c r="CP276" s="307"/>
      <c r="CQ276" s="307"/>
      <c r="CR276" s="307"/>
      <c r="CS276" s="307"/>
      <c r="CT276" s="307"/>
      <c r="CU276" s="307"/>
      <c r="CV276" s="307"/>
      <c r="CW276" s="307"/>
      <c r="CX276" s="307"/>
      <c r="CY276" s="307"/>
      <c r="CZ276" s="307"/>
      <c r="DA276" s="307"/>
      <c r="DB276" s="280"/>
      <c r="DC276" s="280"/>
      <c r="DD276" s="280"/>
      <c r="DE276" s="280"/>
      <c r="DF276" s="280"/>
      <c r="DG276" s="280"/>
      <c r="DH276" s="280"/>
      <c r="DI276" s="280"/>
      <c r="DJ276" s="280"/>
      <c r="DK276" s="280"/>
      <c r="DL276" s="280"/>
      <c r="DM276" s="280"/>
      <c r="DN276" s="280"/>
      <c r="DO276" s="280"/>
      <c r="DP276" s="280"/>
      <c r="DQ276" s="280"/>
      <c r="DR276" s="280"/>
      <c r="DS276" s="280"/>
      <c r="DT276" s="280"/>
      <c r="DU276" s="280"/>
      <c r="DV276" s="280"/>
      <c r="DW276" s="280"/>
      <c r="DX276" s="280"/>
      <c r="DY276" s="280"/>
      <c r="DZ276" s="280"/>
      <c r="EA276" s="280"/>
      <c r="EB276" s="280"/>
      <c r="EC276" s="280"/>
      <c r="ED276" s="280"/>
      <c r="EE276" s="280"/>
      <c r="EF276" s="280"/>
      <c r="EG276" s="280"/>
      <c r="EH276" s="280"/>
      <c r="EI276" s="280"/>
      <c r="EJ276" s="280"/>
      <c r="EK276" s="280"/>
      <c r="EL276" s="280"/>
      <c r="EM276" s="280"/>
      <c r="EN276" s="280"/>
      <c r="EO276" s="280"/>
      <c r="EP276" s="521"/>
      <c r="EQ276" s="521"/>
      <c r="ER276" s="521"/>
      <c r="ES276" s="521"/>
      <c r="ET276" s="521"/>
      <c r="EU276" s="521"/>
      <c r="EV276" s="521"/>
      <c r="EW276" s="521"/>
      <c r="EX276" s="521"/>
      <c r="EY276" s="521"/>
      <c r="EZ276" s="521"/>
      <c r="FA276" s="521"/>
      <c r="FB276" s="521"/>
      <c r="FC276" s="521"/>
      <c r="FD276" s="521"/>
      <c r="FE276" s="521"/>
      <c r="FF276" s="521"/>
      <c r="FG276" s="521"/>
      <c r="FH276" s="567"/>
      <c r="FI276" s="567"/>
      <c r="FJ276" s="567"/>
      <c r="FK276" s="567"/>
      <c r="FL276" s="567"/>
      <c r="FM276" s="567"/>
      <c r="FN276" s="567"/>
      <c r="FO276" s="567"/>
    </row>
    <row r="277" spans="1:171" s="568" customFormat="1" ht="13.9" customHeight="1">
      <c r="A277" s="566"/>
      <c r="B277" s="566"/>
      <c r="C277" s="566"/>
      <c r="D277" s="569"/>
      <c r="E277" s="570"/>
      <c r="F277" s="571"/>
      <c r="G277" s="571"/>
      <c r="H277" s="571"/>
      <c r="I277" s="571"/>
      <c r="J277" s="571"/>
      <c r="K277" s="572"/>
      <c r="L277" s="569"/>
      <c r="M277" s="569"/>
      <c r="N277" s="569"/>
      <c r="O277" s="569"/>
      <c r="P277" s="566"/>
      <c r="Q277" s="566"/>
      <c r="R277" s="566"/>
      <c r="S277" s="566"/>
      <c r="T277" s="566"/>
      <c r="U277" s="566"/>
      <c r="V277" s="566"/>
      <c r="W277" s="566"/>
      <c r="X277" s="553"/>
      <c r="Y277" s="553"/>
      <c r="Z277" s="553"/>
      <c r="AA277" s="554"/>
      <c r="AB277" s="550"/>
      <c r="AC277" s="550"/>
      <c r="AD277" s="550"/>
      <c r="AE277" s="307"/>
      <c r="AF277" s="307"/>
      <c r="AG277" s="307"/>
      <c r="AH277" s="307"/>
      <c r="AI277" s="307"/>
      <c r="AJ277" s="307"/>
      <c r="AK277" s="307"/>
      <c r="AL277" s="307"/>
      <c r="AM277" s="307"/>
      <c r="AN277" s="307"/>
      <c r="AO277" s="307"/>
      <c r="AP277" s="307"/>
      <c r="AQ277" s="307"/>
      <c r="AR277" s="307"/>
      <c r="AS277" s="307"/>
      <c r="AT277" s="307"/>
      <c r="AU277" s="307"/>
      <c r="AV277" s="307"/>
      <c r="AW277" s="307"/>
      <c r="AX277" s="307"/>
      <c r="AY277" s="307"/>
      <c r="AZ277" s="307"/>
      <c r="BA277" s="307"/>
      <c r="BB277" s="307"/>
      <c r="BC277" s="307"/>
      <c r="BD277" s="307"/>
      <c r="BE277" s="307"/>
      <c r="BF277" s="307"/>
      <c r="BG277" s="307"/>
      <c r="BH277" s="307"/>
      <c r="BI277" s="307"/>
      <c r="BJ277" s="307"/>
      <c r="BK277" s="307"/>
      <c r="BL277" s="307"/>
      <c r="BM277" s="307"/>
      <c r="BN277" s="307"/>
      <c r="BO277" s="307"/>
      <c r="BP277" s="307"/>
      <c r="BQ277" s="307"/>
      <c r="BR277" s="307"/>
      <c r="BS277" s="307"/>
      <c r="BT277" s="307"/>
      <c r="BU277" s="307"/>
      <c r="BV277" s="307"/>
      <c r="BW277" s="307"/>
      <c r="BX277" s="307"/>
      <c r="BY277" s="307"/>
      <c r="BZ277" s="307"/>
      <c r="CA277" s="307"/>
      <c r="CB277" s="307"/>
      <c r="CC277" s="307"/>
      <c r="CD277" s="307"/>
      <c r="CE277" s="307"/>
      <c r="CF277" s="307"/>
      <c r="CG277" s="307"/>
      <c r="CH277" s="307"/>
      <c r="CI277" s="307"/>
      <c r="CJ277" s="307"/>
      <c r="CK277" s="307"/>
      <c r="CL277" s="307"/>
      <c r="CM277" s="307"/>
      <c r="CN277" s="307"/>
      <c r="CO277" s="307"/>
      <c r="CP277" s="307"/>
      <c r="CQ277" s="307"/>
      <c r="CR277" s="307"/>
      <c r="CS277" s="307"/>
      <c r="CT277" s="307"/>
      <c r="CU277" s="307"/>
      <c r="CV277" s="307"/>
      <c r="CW277" s="307"/>
      <c r="CX277" s="307"/>
      <c r="CY277" s="307"/>
      <c r="CZ277" s="307"/>
      <c r="DA277" s="307"/>
      <c r="DB277" s="280"/>
      <c r="DC277" s="280"/>
      <c r="DD277" s="280"/>
      <c r="DE277" s="280"/>
      <c r="DF277" s="280"/>
      <c r="DG277" s="280"/>
      <c r="DH277" s="280"/>
      <c r="DI277" s="280"/>
      <c r="DJ277" s="280"/>
      <c r="DK277" s="280"/>
      <c r="DL277" s="280"/>
      <c r="DM277" s="280"/>
      <c r="DN277" s="280"/>
      <c r="DO277" s="280"/>
      <c r="DP277" s="280"/>
      <c r="DQ277" s="280"/>
      <c r="DR277" s="280"/>
      <c r="DS277" s="280"/>
      <c r="DT277" s="280"/>
      <c r="DU277" s="280"/>
      <c r="DV277" s="280"/>
      <c r="DW277" s="280"/>
      <c r="DX277" s="280"/>
      <c r="DY277" s="280"/>
      <c r="DZ277" s="280"/>
      <c r="EA277" s="280"/>
      <c r="EB277" s="280"/>
      <c r="EC277" s="280"/>
      <c r="ED277" s="280"/>
      <c r="EE277" s="280"/>
      <c r="EF277" s="280"/>
      <c r="EG277" s="280"/>
      <c r="EH277" s="280"/>
      <c r="EI277" s="280"/>
      <c r="EJ277" s="280"/>
      <c r="EK277" s="280"/>
      <c r="EL277" s="280"/>
      <c r="EM277" s="280"/>
      <c r="EN277" s="280"/>
      <c r="EO277" s="280"/>
      <c r="EP277" s="521"/>
      <c r="EQ277" s="521"/>
      <c r="ER277" s="521"/>
      <c r="ES277" s="521"/>
      <c r="ET277" s="521"/>
      <c r="EU277" s="521"/>
      <c r="EV277" s="521"/>
      <c r="EW277" s="521"/>
      <c r="EX277" s="521"/>
      <c r="EY277" s="521"/>
      <c r="EZ277" s="521"/>
      <c r="FA277" s="521"/>
      <c r="FB277" s="521"/>
      <c r="FC277" s="521"/>
      <c r="FD277" s="521"/>
      <c r="FE277" s="521"/>
      <c r="FF277" s="521"/>
      <c r="FG277" s="521"/>
      <c r="FH277" s="567"/>
      <c r="FI277" s="567"/>
      <c r="FJ277" s="567"/>
      <c r="FK277" s="567"/>
      <c r="FL277" s="567"/>
      <c r="FM277" s="567"/>
      <c r="FN277" s="567"/>
      <c r="FO277" s="567"/>
    </row>
    <row r="278" spans="1:171" s="568" customFormat="1" ht="13.9" customHeight="1">
      <c r="A278" s="566"/>
      <c r="B278" s="566"/>
      <c r="C278" s="566"/>
      <c r="D278" s="569"/>
      <c r="E278" s="570"/>
      <c r="F278" s="571"/>
      <c r="G278" s="571"/>
      <c r="H278" s="571"/>
      <c r="I278" s="571"/>
      <c r="J278" s="571"/>
      <c r="K278" s="572"/>
      <c r="L278" s="569"/>
      <c r="M278" s="569"/>
      <c r="N278" s="569"/>
      <c r="O278" s="569"/>
      <c r="P278" s="566"/>
      <c r="Q278" s="566"/>
      <c r="R278" s="566"/>
      <c r="S278" s="566"/>
      <c r="T278" s="566"/>
      <c r="U278" s="566"/>
      <c r="V278" s="566"/>
      <c r="W278" s="566"/>
      <c r="X278" s="553"/>
      <c r="Y278" s="553"/>
      <c r="Z278" s="553"/>
      <c r="AA278" s="554"/>
      <c r="AB278" s="550"/>
      <c r="AC278" s="550"/>
      <c r="AD278" s="550"/>
      <c r="AE278" s="307"/>
      <c r="AF278" s="307"/>
      <c r="AG278" s="307"/>
      <c r="AH278" s="307"/>
      <c r="AI278" s="307"/>
      <c r="AJ278" s="307"/>
      <c r="AK278" s="307"/>
      <c r="AL278" s="307"/>
      <c r="AM278" s="307"/>
      <c r="AN278" s="307"/>
      <c r="AO278" s="307"/>
      <c r="AP278" s="307"/>
      <c r="AQ278" s="307"/>
      <c r="AR278" s="307"/>
      <c r="AS278" s="307"/>
      <c r="AT278" s="307"/>
      <c r="AU278" s="307"/>
      <c r="AV278" s="307"/>
      <c r="AW278" s="307"/>
      <c r="AX278" s="307"/>
      <c r="AY278" s="307"/>
      <c r="AZ278" s="307"/>
      <c r="BA278" s="307"/>
      <c r="BB278" s="307"/>
      <c r="BC278" s="307"/>
      <c r="BD278" s="307"/>
      <c r="BE278" s="307"/>
      <c r="BF278" s="307"/>
      <c r="BG278" s="307"/>
      <c r="BH278" s="307"/>
      <c r="BI278" s="307"/>
      <c r="BJ278" s="307"/>
      <c r="BK278" s="307"/>
      <c r="BL278" s="307"/>
      <c r="BM278" s="307"/>
      <c r="BN278" s="307"/>
      <c r="BO278" s="307"/>
      <c r="BP278" s="307"/>
      <c r="BQ278" s="307"/>
      <c r="BR278" s="307"/>
      <c r="BS278" s="307"/>
      <c r="BT278" s="307"/>
      <c r="BU278" s="307"/>
      <c r="BV278" s="307"/>
      <c r="BW278" s="307"/>
      <c r="BX278" s="307"/>
      <c r="BY278" s="307"/>
      <c r="BZ278" s="307"/>
      <c r="CA278" s="307"/>
      <c r="CB278" s="307"/>
      <c r="CC278" s="307"/>
      <c r="CD278" s="307"/>
      <c r="CE278" s="307"/>
      <c r="CF278" s="307"/>
      <c r="CG278" s="307"/>
      <c r="CH278" s="307"/>
      <c r="CI278" s="307"/>
      <c r="CJ278" s="307"/>
      <c r="CK278" s="307"/>
      <c r="CL278" s="307"/>
      <c r="CM278" s="307"/>
      <c r="CN278" s="307"/>
      <c r="CO278" s="307"/>
      <c r="CP278" s="307"/>
      <c r="CQ278" s="307"/>
      <c r="CR278" s="307"/>
      <c r="CS278" s="307"/>
      <c r="CT278" s="307"/>
      <c r="CU278" s="307"/>
      <c r="CV278" s="307"/>
      <c r="CW278" s="307"/>
      <c r="CX278" s="307"/>
      <c r="CY278" s="307"/>
      <c r="CZ278" s="307"/>
      <c r="DA278" s="307"/>
      <c r="DB278" s="280"/>
      <c r="DC278" s="280"/>
      <c r="DD278" s="280"/>
      <c r="DE278" s="280"/>
      <c r="DF278" s="280"/>
      <c r="DG278" s="280"/>
      <c r="DH278" s="280"/>
      <c r="DI278" s="280"/>
      <c r="DJ278" s="280"/>
      <c r="DK278" s="280"/>
      <c r="DL278" s="280"/>
      <c r="DM278" s="280"/>
      <c r="DN278" s="280"/>
      <c r="DO278" s="280"/>
      <c r="DP278" s="280"/>
      <c r="DQ278" s="280"/>
      <c r="DR278" s="280"/>
      <c r="DS278" s="280"/>
      <c r="DT278" s="280"/>
      <c r="DU278" s="280"/>
      <c r="DV278" s="280"/>
      <c r="DW278" s="280"/>
      <c r="DX278" s="280"/>
      <c r="DY278" s="280"/>
      <c r="DZ278" s="280"/>
      <c r="EA278" s="280"/>
      <c r="EB278" s="280"/>
      <c r="EC278" s="280"/>
      <c r="ED278" s="280"/>
      <c r="EE278" s="280"/>
      <c r="EF278" s="280"/>
      <c r="EG278" s="280"/>
      <c r="EH278" s="280"/>
      <c r="EI278" s="280"/>
      <c r="EJ278" s="280"/>
      <c r="EK278" s="280"/>
      <c r="EL278" s="280"/>
      <c r="EM278" s="280"/>
      <c r="EN278" s="280"/>
      <c r="EO278" s="280"/>
      <c r="EP278" s="521"/>
      <c r="EQ278" s="521"/>
      <c r="ER278" s="521"/>
      <c r="ES278" s="521"/>
      <c r="ET278" s="521"/>
      <c r="EU278" s="521"/>
      <c r="EV278" s="521"/>
      <c r="EW278" s="521"/>
      <c r="EX278" s="521"/>
      <c r="EY278" s="521"/>
      <c r="EZ278" s="521"/>
      <c r="FA278" s="521"/>
      <c r="FB278" s="521"/>
      <c r="FC278" s="521"/>
      <c r="FD278" s="521"/>
      <c r="FE278" s="521"/>
      <c r="FF278" s="521"/>
      <c r="FG278" s="521"/>
      <c r="FH278" s="567"/>
      <c r="FI278" s="567"/>
      <c r="FJ278" s="567"/>
      <c r="FK278" s="567"/>
      <c r="FL278" s="567"/>
      <c r="FM278" s="567"/>
      <c r="FN278" s="567"/>
      <c r="FO278" s="567"/>
    </row>
    <row r="279" spans="1:171" s="568" customFormat="1" ht="13.9" customHeight="1">
      <c r="A279" s="566"/>
      <c r="B279" s="566"/>
      <c r="C279" s="566"/>
      <c r="D279" s="569"/>
      <c r="E279" s="570"/>
      <c r="F279" s="571"/>
      <c r="G279" s="571"/>
      <c r="H279" s="571"/>
      <c r="I279" s="571"/>
      <c r="J279" s="571"/>
      <c r="K279" s="572"/>
      <c r="L279" s="569"/>
      <c r="M279" s="569"/>
      <c r="N279" s="569"/>
      <c r="O279" s="569"/>
      <c r="P279" s="566"/>
      <c r="Q279" s="566"/>
      <c r="R279" s="566"/>
      <c r="S279" s="566"/>
      <c r="T279" s="566"/>
      <c r="U279" s="566"/>
      <c r="V279" s="566"/>
      <c r="W279" s="566"/>
      <c r="X279" s="553"/>
      <c r="Y279" s="553"/>
      <c r="Z279" s="553"/>
      <c r="AA279" s="554"/>
      <c r="AB279" s="550"/>
      <c r="AC279" s="550"/>
      <c r="AD279" s="550"/>
      <c r="AE279" s="307"/>
      <c r="AF279" s="307"/>
      <c r="AG279" s="307"/>
      <c r="AH279" s="307"/>
      <c r="AI279" s="307"/>
      <c r="AJ279" s="307"/>
      <c r="AK279" s="307"/>
      <c r="AL279" s="307"/>
      <c r="AM279" s="307"/>
      <c r="AN279" s="307"/>
      <c r="AO279" s="307"/>
      <c r="AP279" s="307"/>
      <c r="AQ279" s="307"/>
      <c r="AR279" s="307"/>
      <c r="AS279" s="307"/>
      <c r="AT279" s="307"/>
      <c r="AU279" s="307"/>
      <c r="AV279" s="307"/>
      <c r="AW279" s="307"/>
      <c r="AX279" s="307"/>
      <c r="AY279" s="307"/>
      <c r="AZ279" s="307"/>
      <c r="BA279" s="307"/>
      <c r="BB279" s="307"/>
      <c r="BC279" s="307"/>
      <c r="BD279" s="307"/>
      <c r="BE279" s="307"/>
      <c r="BF279" s="307"/>
      <c r="BG279" s="307"/>
      <c r="BH279" s="307"/>
      <c r="BI279" s="307"/>
      <c r="BJ279" s="307"/>
      <c r="BK279" s="307"/>
      <c r="BL279" s="307"/>
      <c r="BM279" s="307"/>
      <c r="BN279" s="307"/>
      <c r="BO279" s="307"/>
      <c r="BP279" s="307"/>
      <c r="BQ279" s="307"/>
      <c r="BR279" s="307"/>
      <c r="BS279" s="307"/>
      <c r="BT279" s="307"/>
      <c r="BU279" s="307"/>
      <c r="BV279" s="307"/>
      <c r="BW279" s="307"/>
      <c r="BX279" s="307"/>
      <c r="BY279" s="307"/>
      <c r="BZ279" s="307"/>
      <c r="CA279" s="307"/>
      <c r="CB279" s="307"/>
      <c r="CC279" s="307"/>
      <c r="CD279" s="307"/>
      <c r="CE279" s="307"/>
      <c r="CF279" s="307"/>
      <c r="CG279" s="307"/>
      <c r="CH279" s="307"/>
      <c r="CI279" s="307"/>
      <c r="CJ279" s="307"/>
      <c r="CK279" s="307"/>
      <c r="CL279" s="307"/>
      <c r="CM279" s="307"/>
      <c r="CN279" s="307"/>
      <c r="CO279" s="307"/>
      <c r="CP279" s="307"/>
      <c r="CQ279" s="307"/>
      <c r="CR279" s="307"/>
      <c r="CS279" s="307"/>
      <c r="CT279" s="307"/>
      <c r="CU279" s="307"/>
      <c r="CV279" s="307"/>
      <c r="CW279" s="307"/>
      <c r="CX279" s="307"/>
      <c r="CY279" s="307"/>
      <c r="CZ279" s="307"/>
      <c r="DA279" s="307"/>
      <c r="DB279" s="280"/>
      <c r="DC279" s="280"/>
      <c r="DD279" s="280"/>
      <c r="DE279" s="280"/>
      <c r="DF279" s="280"/>
      <c r="DG279" s="280"/>
      <c r="DH279" s="280"/>
      <c r="DI279" s="280"/>
      <c r="DJ279" s="280"/>
      <c r="DK279" s="280"/>
      <c r="DL279" s="280"/>
      <c r="DM279" s="280"/>
      <c r="DN279" s="280"/>
      <c r="DO279" s="280"/>
      <c r="DP279" s="280"/>
      <c r="DQ279" s="280"/>
      <c r="DR279" s="280"/>
      <c r="DS279" s="280"/>
      <c r="DT279" s="280"/>
      <c r="DU279" s="280"/>
      <c r="DV279" s="280"/>
      <c r="DW279" s="280"/>
      <c r="DX279" s="280"/>
      <c r="DY279" s="280"/>
      <c r="DZ279" s="280"/>
      <c r="EA279" s="280"/>
      <c r="EB279" s="280"/>
      <c r="EC279" s="280"/>
      <c r="ED279" s="280"/>
      <c r="EE279" s="280"/>
      <c r="EF279" s="280"/>
      <c r="EG279" s="280"/>
      <c r="EH279" s="280"/>
      <c r="EI279" s="280"/>
      <c r="EJ279" s="280"/>
      <c r="EK279" s="280"/>
      <c r="EL279" s="280"/>
      <c r="EM279" s="280"/>
      <c r="EN279" s="280"/>
      <c r="EO279" s="280"/>
      <c r="EP279" s="521"/>
      <c r="EQ279" s="521"/>
      <c r="ER279" s="521"/>
      <c r="ES279" s="521"/>
      <c r="ET279" s="521"/>
      <c r="EU279" s="521"/>
      <c r="EV279" s="521"/>
      <c r="EW279" s="521"/>
      <c r="EX279" s="521"/>
      <c r="EY279" s="521"/>
      <c r="EZ279" s="521"/>
      <c r="FA279" s="521"/>
      <c r="FB279" s="521"/>
      <c r="FC279" s="521"/>
      <c r="FD279" s="521"/>
      <c r="FE279" s="521"/>
      <c r="FF279" s="521"/>
      <c r="FG279" s="521"/>
      <c r="FH279" s="567"/>
      <c r="FI279" s="567"/>
      <c r="FJ279" s="567"/>
      <c r="FK279" s="567"/>
      <c r="FL279" s="567"/>
      <c r="FM279" s="567"/>
      <c r="FN279" s="567"/>
      <c r="FO279" s="567"/>
    </row>
    <row r="280" spans="1:171" s="568" customFormat="1" ht="13.9" customHeight="1">
      <c r="A280" s="566"/>
      <c r="B280" s="566"/>
      <c r="C280" s="566"/>
      <c r="D280" s="569"/>
      <c r="E280" s="570"/>
      <c r="F280" s="571"/>
      <c r="G280" s="571"/>
      <c r="H280" s="571"/>
      <c r="I280" s="571"/>
      <c r="J280" s="571"/>
      <c r="K280" s="572"/>
      <c r="L280" s="569"/>
      <c r="M280" s="569"/>
      <c r="N280" s="569"/>
      <c r="O280" s="569"/>
      <c r="P280" s="566"/>
      <c r="Q280" s="566"/>
      <c r="R280" s="566"/>
      <c r="S280" s="566"/>
      <c r="T280" s="566"/>
      <c r="U280" s="566"/>
      <c r="V280" s="566"/>
      <c r="W280" s="566"/>
      <c r="X280" s="553"/>
      <c r="Y280" s="553"/>
      <c r="Z280" s="553"/>
      <c r="AA280" s="554"/>
      <c r="AB280" s="550"/>
      <c r="AC280" s="550"/>
      <c r="AD280" s="550"/>
      <c r="AE280" s="307"/>
      <c r="AF280" s="307"/>
      <c r="AG280" s="307"/>
      <c r="AH280" s="307"/>
      <c r="AI280" s="307"/>
      <c r="AJ280" s="307"/>
      <c r="AK280" s="307"/>
      <c r="AL280" s="307"/>
      <c r="AM280" s="307"/>
      <c r="AN280" s="307"/>
      <c r="AO280" s="307"/>
      <c r="AP280" s="307"/>
      <c r="AQ280" s="307"/>
      <c r="AR280" s="307"/>
      <c r="AS280" s="307"/>
      <c r="AT280" s="307"/>
      <c r="AU280" s="307"/>
      <c r="AV280" s="307"/>
      <c r="AW280" s="307"/>
      <c r="AX280" s="307"/>
      <c r="AY280" s="307"/>
      <c r="AZ280" s="307"/>
      <c r="BA280" s="307"/>
      <c r="BB280" s="307"/>
      <c r="BC280" s="307"/>
      <c r="BD280" s="307"/>
      <c r="BE280" s="307"/>
      <c r="BF280" s="307"/>
      <c r="BG280" s="307"/>
      <c r="BH280" s="307"/>
      <c r="BI280" s="307"/>
      <c r="BJ280" s="307"/>
      <c r="BK280" s="307"/>
      <c r="BL280" s="307"/>
      <c r="BM280" s="307"/>
      <c r="BN280" s="307"/>
      <c r="BO280" s="307"/>
      <c r="BP280" s="307"/>
      <c r="BQ280" s="307"/>
      <c r="BR280" s="307"/>
      <c r="BS280" s="307"/>
      <c r="BT280" s="307"/>
      <c r="BU280" s="307"/>
      <c r="BV280" s="307"/>
      <c r="BW280" s="307"/>
      <c r="BX280" s="307"/>
      <c r="BY280" s="307"/>
      <c r="BZ280" s="307"/>
      <c r="CA280" s="307"/>
      <c r="CB280" s="307"/>
      <c r="CC280" s="307"/>
      <c r="CD280" s="307"/>
      <c r="CE280" s="307"/>
      <c r="CF280" s="307"/>
      <c r="CG280" s="307"/>
      <c r="CH280" s="307"/>
      <c r="CI280" s="307"/>
      <c r="CJ280" s="307"/>
      <c r="CK280" s="307"/>
      <c r="CL280" s="307"/>
      <c r="CM280" s="307"/>
      <c r="CN280" s="307"/>
      <c r="CO280" s="307"/>
      <c r="CP280" s="307"/>
      <c r="CQ280" s="307"/>
      <c r="CR280" s="307"/>
      <c r="CS280" s="307"/>
      <c r="CT280" s="307"/>
      <c r="CU280" s="307"/>
      <c r="CV280" s="307"/>
      <c r="CW280" s="307"/>
      <c r="CX280" s="307"/>
      <c r="CY280" s="307"/>
      <c r="CZ280" s="307"/>
      <c r="DA280" s="307"/>
      <c r="DB280" s="280"/>
      <c r="DC280" s="280"/>
      <c r="DD280" s="280"/>
      <c r="DE280" s="280"/>
      <c r="DF280" s="280"/>
      <c r="DG280" s="280"/>
      <c r="DH280" s="280"/>
      <c r="DI280" s="280"/>
      <c r="DJ280" s="280"/>
      <c r="DK280" s="280"/>
      <c r="DL280" s="280"/>
      <c r="DM280" s="280"/>
      <c r="DN280" s="280"/>
      <c r="DO280" s="280"/>
      <c r="DP280" s="280"/>
      <c r="DQ280" s="280"/>
      <c r="DR280" s="280"/>
      <c r="DS280" s="280"/>
      <c r="DT280" s="280"/>
      <c r="DU280" s="280"/>
      <c r="DV280" s="280"/>
      <c r="DW280" s="280"/>
      <c r="DX280" s="280"/>
      <c r="DY280" s="280"/>
      <c r="DZ280" s="280"/>
      <c r="EA280" s="280"/>
      <c r="EB280" s="280"/>
      <c r="EC280" s="280"/>
      <c r="ED280" s="280"/>
      <c r="EE280" s="280"/>
      <c r="EF280" s="280"/>
      <c r="EG280" s="280"/>
      <c r="EH280" s="280"/>
      <c r="EI280" s="280"/>
      <c r="EJ280" s="280"/>
      <c r="EK280" s="280"/>
      <c r="EL280" s="280"/>
      <c r="EM280" s="280"/>
      <c r="EN280" s="280"/>
      <c r="EO280" s="280"/>
      <c r="EP280" s="521"/>
      <c r="EQ280" s="521"/>
      <c r="ER280" s="521"/>
      <c r="ES280" s="521"/>
      <c r="ET280" s="521"/>
      <c r="EU280" s="521"/>
      <c r="EV280" s="521"/>
      <c r="EW280" s="521"/>
      <c r="EX280" s="521"/>
      <c r="EY280" s="521"/>
      <c r="EZ280" s="521"/>
      <c r="FA280" s="521"/>
      <c r="FB280" s="521"/>
      <c r="FC280" s="521"/>
      <c r="FD280" s="521"/>
      <c r="FE280" s="521"/>
      <c r="FF280" s="521"/>
      <c r="FG280" s="521"/>
      <c r="FH280" s="567"/>
      <c r="FI280" s="567"/>
      <c r="FJ280" s="567"/>
      <c r="FK280" s="567"/>
      <c r="FL280" s="567"/>
      <c r="FM280" s="567"/>
      <c r="FN280" s="567"/>
      <c r="FO280" s="567"/>
    </row>
    <row r="281" spans="1:171" s="568" customFormat="1" ht="13.9" customHeight="1">
      <c r="A281" s="566"/>
      <c r="B281" s="566"/>
      <c r="C281" s="566"/>
      <c r="D281" s="569"/>
      <c r="E281" s="570"/>
      <c r="F281" s="571"/>
      <c r="G281" s="571"/>
      <c r="H281" s="571"/>
      <c r="I281" s="571"/>
      <c r="J281" s="571"/>
      <c r="K281" s="572"/>
      <c r="L281" s="569"/>
      <c r="M281" s="569"/>
      <c r="N281" s="569"/>
      <c r="O281" s="569"/>
      <c r="P281" s="566"/>
      <c r="Q281" s="566"/>
      <c r="R281" s="566"/>
      <c r="S281" s="566"/>
      <c r="T281" s="566"/>
      <c r="U281" s="566"/>
      <c r="V281" s="566"/>
      <c r="W281" s="566"/>
      <c r="X281" s="553"/>
      <c r="Y281" s="553"/>
      <c r="Z281" s="553"/>
      <c r="AA281" s="554"/>
      <c r="AB281" s="550"/>
      <c r="AC281" s="550"/>
      <c r="AD281" s="550"/>
      <c r="AE281" s="307"/>
      <c r="AF281" s="307"/>
      <c r="AG281" s="307"/>
      <c r="AH281" s="307"/>
      <c r="AI281" s="307"/>
      <c r="AJ281" s="307"/>
      <c r="AK281" s="307"/>
      <c r="AL281" s="307"/>
      <c r="AM281" s="307"/>
      <c r="AN281" s="307"/>
      <c r="AO281" s="307"/>
      <c r="AP281" s="307"/>
      <c r="AQ281" s="307"/>
      <c r="AR281" s="307"/>
      <c r="AS281" s="307"/>
      <c r="AT281" s="307"/>
      <c r="AU281" s="307"/>
      <c r="AV281" s="307"/>
      <c r="AW281" s="307"/>
      <c r="AX281" s="307"/>
      <c r="AY281" s="307"/>
      <c r="AZ281" s="307"/>
      <c r="BA281" s="307"/>
      <c r="BB281" s="307"/>
      <c r="BC281" s="307"/>
      <c r="BD281" s="307"/>
      <c r="BE281" s="307"/>
      <c r="BF281" s="307"/>
      <c r="BG281" s="307"/>
      <c r="BH281" s="307"/>
      <c r="BI281" s="307"/>
      <c r="BJ281" s="307"/>
      <c r="BK281" s="307"/>
      <c r="BL281" s="307"/>
      <c r="BM281" s="307"/>
      <c r="BN281" s="307"/>
      <c r="BO281" s="307"/>
      <c r="BP281" s="307"/>
      <c r="BQ281" s="307"/>
      <c r="BR281" s="307"/>
      <c r="BS281" s="307"/>
      <c r="BT281" s="307"/>
      <c r="BU281" s="307"/>
      <c r="BV281" s="307"/>
      <c r="BW281" s="307"/>
      <c r="BX281" s="307"/>
      <c r="BY281" s="307"/>
      <c r="BZ281" s="307"/>
      <c r="CA281" s="307"/>
      <c r="CB281" s="307"/>
      <c r="CC281" s="307"/>
      <c r="CD281" s="307"/>
      <c r="CE281" s="307"/>
      <c r="CF281" s="307"/>
      <c r="CG281" s="307"/>
      <c r="CH281" s="307"/>
      <c r="CI281" s="307"/>
      <c r="CJ281" s="307"/>
      <c r="CK281" s="307"/>
      <c r="CL281" s="307"/>
      <c r="CM281" s="307"/>
      <c r="CN281" s="307"/>
      <c r="CO281" s="307"/>
      <c r="CP281" s="307"/>
      <c r="CQ281" s="307"/>
      <c r="CR281" s="307"/>
      <c r="CS281" s="307"/>
      <c r="CT281" s="307"/>
      <c r="CU281" s="307"/>
      <c r="CV281" s="307"/>
      <c r="CW281" s="307"/>
      <c r="CX281" s="307"/>
      <c r="CY281" s="307"/>
      <c r="CZ281" s="307"/>
      <c r="DA281" s="307"/>
      <c r="DB281" s="280"/>
      <c r="DC281" s="280"/>
      <c r="DD281" s="280"/>
      <c r="DE281" s="280"/>
      <c r="DF281" s="280"/>
      <c r="DG281" s="280"/>
      <c r="DH281" s="280"/>
      <c r="DI281" s="280"/>
      <c r="DJ281" s="280"/>
      <c r="DK281" s="280"/>
      <c r="DL281" s="280"/>
      <c r="DM281" s="280"/>
      <c r="DN281" s="280"/>
      <c r="DO281" s="280"/>
      <c r="DP281" s="280"/>
      <c r="DQ281" s="280"/>
      <c r="DR281" s="280"/>
      <c r="DS281" s="280"/>
      <c r="DT281" s="280"/>
      <c r="DU281" s="280"/>
      <c r="DV281" s="280"/>
      <c r="DW281" s="280"/>
      <c r="DX281" s="280"/>
      <c r="DY281" s="280"/>
      <c r="DZ281" s="280"/>
      <c r="EA281" s="280"/>
      <c r="EB281" s="280"/>
      <c r="EC281" s="280"/>
      <c r="ED281" s="280"/>
      <c r="EE281" s="280"/>
      <c r="EF281" s="280"/>
      <c r="EG281" s="280"/>
      <c r="EH281" s="280"/>
      <c r="EI281" s="280"/>
      <c r="EJ281" s="280"/>
      <c r="EK281" s="280"/>
      <c r="EL281" s="280"/>
      <c r="EM281" s="280"/>
      <c r="EN281" s="280"/>
      <c r="EO281" s="280"/>
      <c r="EP281" s="521"/>
      <c r="EQ281" s="521"/>
      <c r="ER281" s="521"/>
      <c r="ES281" s="521"/>
      <c r="ET281" s="521"/>
      <c r="EU281" s="521"/>
      <c r="EV281" s="521"/>
      <c r="EW281" s="521"/>
      <c r="EX281" s="521"/>
      <c r="EY281" s="521"/>
      <c r="EZ281" s="521"/>
      <c r="FA281" s="521"/>
      <c r="FB281" s="521"/>
      <c r="FC281" s="521"/>
      <c r="FD281" s="521"/>
      <c r="FE281" s="521"/>
      <c r="FF281" s="521"/>
      <c r="FG281" s="521"/>
      <c r="FH281" s="567"/>
      <c r="FI281" s="567"/>
      <c r="FJ281" s="567"/>
      <c r="FK281" s="567"/>
      <c r="FL281" s="567"/>
      <c r="FM281" s="567"/>
      <c r="FN281" s="567"/>
      <c r="FO281" s="567"/>
    </row>
    <row r="282" spans="1:171" s="568" customFormat="1" ht="13.9" customHeight="1">
      <c r="A282" s="566"/>
      <c r="B282" s="566"/>
      <c r="C282" s="566"/>
      <c r="D282" s="569"/>
      <c r="E282" s="570"/>
      <c r="F282" s="571"/>
      <c r="G282" s="571"/>
      <c r="H282" s="571"/>
      <c r="I282" s="571"/>
      <c r="J282" s="571"/>
      <c r="K282" s="572"/>
      <c r="L282" s="569"/>
      <c r="M282" s="569"/>
      <c r="N282" s="569"/>
      <c r="O282" s="569"/>
      <c r="P282" s="566"/>
      <c r="Q282" s="566"/>
      <c r="R282" s="566"/>
      <c r="S282" s="566"/>
      <c r="T282" s="566"/>
      <c r="U282" s="566"/>
      <c r="V282" s="566"/>
      <c r="W282" s="566"/>
      <c r="X282" s="553"/>
      <c r="Y282" s="553"/>
      <c r="Z282" s="553"/>
      <c r="AA282" s="554"/>
      <c r="AB282" s="550"/>
      <c r="AC282" s="550"/>
      <c r="AD282" s="550"/>
      <c r="AE282" s="307"/>
      <c r="AF282" s="307"/>
      <c r="AG282" s="307"/>
      <c r="AH282" s="307"/>
      <c r="AI282" s="307"/>
      <c r="AJ282" s="307"/>
      <c r="AK282" s="307"/>
      <c r="AL282" s="307"/>
      <c r="AM282" s="307"/>
      <c r="AN282" s="307"/>
      <c r="AO282" s="307"/>
      <c r="AP282" s="307"/>
      <c r="AQ282" s="307"/>
      <c r="AR282" s="307"/>
      <c r="AS282" s="307"/>
      <c r="AT282" s="307"/>
      <c r="AU282" s="307"/>
      <c r="AV282" s="307"/>
      <c r="AW282" s="307"/>
      <c r="AX282" s="307"/>
      <c r="AY282" s="307"/>
      <c r="AZ282" s="307"/>
      <c r="BA282" s="307"/>
      <c r="BB282" s="307"/>
      <c r="BC282" s="307"/>
      <c r="BD282" s="307"/>
      <c r="BE282" s="307"/>
      <c r="BF282" s="307"/>
      <c r="BG282" s="307"/>
      <c r="BH282" s="307"/>
      <c r="BI282" s="307"/>
      <c r="BJ282" s="307"/>
      <c r="BK282" s="307"/>
      <c r="BL282" s="307"/>
      <c r="BM282" s="307"/>
      <c r="BN282" s="307"/>
      <c r="BO282" s="307"/>
      <c r="BP282" s="307"/>
      <c r="BQ282" s="307"/>
      <c r="BR282" s="307"/>
      <c r="BS282" s="307"/>
      <c r="BT282" s="307"/>
      <c r="BU282" s="307"/>
      <c r="BV282" s="307"/>
      <c r="BW282" s="307"/>
      <c r="BX282" s="307"/>
      <c r="BY282" s="307"/>
      <c r="BZ282" s="307"/>
      <c r="CA282" s="307"/>
      <c r="CB282" s="307"/>
      <c r="CC282" s="307"/>
      <c r="CD282" s="307"/>
      <c r="CE282" s="307"/>
      <c r="CF282" s="307"/>
      <c r="CG282" s="307"/>
      <c r="CH282" s="307"/>
      <c r="CI282" s="307"/>
      <c r="CJ282" s="307"/>
      <c r="CK282" s="307"/>
      <c r="CL282" s="307"/>
      <c r="CM282" s="307"/>
      <c r="CN282" s="307"/>
      <c r="CO282" s="307"/>
      <c r="CP282" s="307"/>
      <c r="CQ282" s="307"/>
      <c r="CR282" s="307"/>
      <c r="CS282" s="307"/>
      <c r="CT282" s="307"/>
      <c r="CU282" s="307"/>
      <c r="CV282" s="307"/>
      <c r="CW282" s="307"/>
      <c r="CX282" s="307"/>
      <c r="CY282" s="307"/>
      <c r="CZ282" s="307"/>
      <c r="DA282" s="307"/>
      <c r="DB282" s="280"/>
      <c r="DC282" s="280"/>
      <c r="DD282" s="280"/>
      <c r="DE282" s="280"/>
      <c r="DF282" s="280"/>
      <c r="DG282" s="280"/>
      <c r="DH282" s="280"/>
      <c r="DI282" s="280"/>
      <c r="DJ282" s="280"/>
      <c r="DK282" s="280"/>
      <c r="DL282" s="280"/>
      <c r="DM282" s="280"/>
      <c r="DN282" s="280"/>
      <c r="DO282" s="280"/>
      <c r="DP282" s="280"/>
      <c r="DQ282" s="280"/>
      <c r="DR282" s="280"/>
      <c r="DS282" s="280"/>
      <c r="DT282" s="280"/>
      <c r="DU282" s="280"/>
      <c r="DV282" s="280"/>
      <c r="DW282" s="280"/>
      <c r="DX282" s="280"/>
      <c r="DY282" s="280"/>
      <c r="DZ282" s="280"/>
      <c r="EA282" s="280"/>
      <c r="EB282" s="280"/>
      <c r="EC282" s="280"/>
      <c r="ED282" s="280"/>
      <c r="EE282" s="280"/>
      <c r="EF282" s="280"/>
      <c r="EG282" s="280"/>
      <c r="EH282" s="280"/>
      <c r="EI282" s="280"/>
      <c r="EJ282" s="280"/>
      <c r="EK282" s="280"/>
      <c r="EL282" s="280"/>
      <c r="EM282" s="280"/>
      <c r="EN282" s="280"/>
      <c r="EO282" s="280"/>
      <c r="EP282" s="521"/>
      <c r="EQ282" s="521"/>
      <c r="ER282" s="521"/>
      <c r="ES282" s="521"/>
      <c r="ET282" s="521"/>
      <c r="EU282" s="521"/>
      <c r="EV282" s="521"/>
      <c r="EW282" s="521"/>
      <c r="EX282" s="521"/>
      <c r="EY282" s="521"/>
      <c r="EZ282" s="521"/>
      <c r="FA282" s="521"/>
      <c r="FB282" s="521"/>
      <c r="FC282" s="521"/>
      <c r="FD282" s="521"/>
      <c r="FE282" s="521"/>
      <c r="FF282" s="521"/>
      <c r="FG282" s="521"/>
      <c r="FH282" s="567"/>
      <c r="FI282" s="567"/>
      <c r="FJ282" s="567"/>
      <c r="FK282" s="567"/>
      <c r="FL282" s="567"/>
      <c r="FM282" s="567"/>
      <c r="FN282" s="567"/>
      <c r="FO282" s="567"/>
    </row>
    <row r="283" spans="1:171" s="568" customFormat="1" ht="13.9" customHeight="1">
      <c r="A283" s="566"/>
      <c r="B283" s="566"/>
      <c r="C283" s="566"/>
      <c r="D283" s="569"/>
      <c r="E283" s="570"/>
      <c r="F283" s="571"/>
      <c r="G283" s="571"/>
      <c r="H283" s="571"/>
      <c r="I283" s="571"/>
      <c r="J283" s="571"/>
      <c r="K283" s="572"/>
      <c r="L283" s="569"/>
      <c r="M283" s="569"/>
      <c r="N283" s="569"/>
      <c r="O283" s="569"/>
      <c r="P283" s="566"/>
      <c r="Q283" s="566"/>
      <c r="R283" s="566"/>
      <c r="S283" s="566"/>
      <c r="T283" s="566"/>
      <c r="U283" s="566"/>
      <c r="V283" s="566"/>
      <c r="W283" s="566"/>
      <c r="X283" s="553"/>
      <c r="Y283" s="553"/>
      <c r="Z283" s="553"/>
      <c r="AA283" s="554"/>
      <c r="AB283" s="550"/>
      <c r="AC283" s="550"/>
      <c r="AD283" s="550"/>
      <c r="AE283" s="307"/>
      <c r="AF283" s="307"/>
      <c r="AG283" s="307"/>
      <c r="AH283" s="307"/>
      <c r="AI283" s="307"/>
      <c r="AJ283" s="307"/>
      <c r="AK283" s="307"/>
      <c r="AL283" s="307"/>
      <c r="AM283" s="307"/>
      <c r="AN283" s="307"/>
      <c r="AO283" s="307"/>
      <c r="AP283" s="307"/>
      <c r="AQ283" s="307"/>
      <c r="AR283" s="307"/>
      <c r="AS283" s="307"/>
      <c r="AT283" s="307"/>
      <c r="AU283" s="307"/>
      <c r="AV283" s="307"/>
      <c r="AW283" s="307"/>
      <c r="AX283" s="307"/>
      <c r="AY283" s="307"/>
      <c r="AZ283" s="307"/>
      <c r="BA283" s="307"/>
      <c r="BB283" s="307"/>
      <c r="BC283" s="307"/>
      <c r="BD283" s="307"/>
      <c r="BE283" s="307"/>
      <c r="BF283" s="307"/>
      <c r="BG283" s="307"/>
      <c r="BH283" s="307"/>
      <c r="BI283" s="307"/>
      <c r="BJ283" s="307"/>
      <c r="BK283" s="307"/>
      <c r="BL283" s="307"/>
      <c r="BM283" s="307"/>
      <c r="BN283" s="307"/>
      <c r="BO283" s="307"/>
      <c r="BP283" s="307"/>
      <c r="BQ283" s="307"/>
      <c r="BR283" s="307"/>
      <c r="BS283" s="307"/>
      <c r="BT283" s="307"/>
      <c r="BU283" s="307"/>
      <c r="BV283" s="307"/>
      <c r="BW283" s="307"/>
      <c r="BX283" s="307"/>
      <c r="BY283" s="307"/>
      <c r="BZ283" s="307"/>
      <c r="CA283" s="307"/>
      <c r="CB283" s="307"/>
      <c r="CC283" s="307"/>
      <c r="CD283" s="307"/>
      <c r="CE283" s="307"/>
      <c r="CF283" s="307"/>
      <c r="CG283" s="307"/>
      <c r="CH283" s="307"/>
      <c r="CI283" s="307"/>
      <c r="CJ283" s="307"/>
      <c r="CK283" s="307"/>
      <c r="CL283" s="307"/>
      <c r="CM283" s="307"/>
      <c r="CN283" s="307"/>
      <c r="CO283" s="307"/>
      <c r="CP283" s="307"/>
      <c r="CQ283" s="307"/>
      <c r="CR283" s="307"/>
      <c r="CS283" s="307"/>
      <c r="CT283" s="307"/>
      <c r="CU283" s="307"/>
      <c r="CV283" s="307"/>
      <c r="CW283" s="307"/>
      <c r="CX283" s="307"/>
      <c r="CY283" s="307"/>
      <c r="CZ283" s="307"/>
      <c r="DA283" s="307"/>
      <c r="DB283" s="280"/>
      <c r="DC283" s="280"/>
      <c r="DD283" s="280"/>
      <c r="DE283" s="280"/>
      <c r="DF283" s="280"/>
      <c r="DG283" s="280"/>
      <c r="DH283" s="280"/>
      <c r="DI283" s="280"/>
      <c r="DJ283" s="280"/>
      <c r="DK283" s="280"/>
      <c r="DL283" s="280"/>
      <c r="DM283" s="280"/>
      <c r="DN283" s="280"/>
      <c r="DO283" s="280"/>
      <c r="DP283" s="280"/>
      <c r="DQ283" s="280"/>
      <c r="DR283" s="280"/>
      <c r="DS283" s="280"/>
      <c r="DT283" s="280"/>
      <c r="DU283" s="280"/>
      <c r="DV283" s="280"/>
      <c r="DW283" s="280"/>
      <c r="DX283" s="280"/>
      <c r="DY283" s="280"/>
      <c r="DZ283" s="280"/>
      <c r="EA283" s="280"/>
      <c r="EB283" s="280"/>
      <c r="EC283" s="280"/>
      <c r="ED283" s="280"/>
      <c r="EE283" s="280"/>
      <c r="EF283" s="280"/>
      <c r="EG283" s="280"/>
      <c r="EH283" s="280"/>
      <c r="EI283" s="280"/>
      <c r="EJ283" s="280"/>
      <c r="EK283" s="280"/>
      <c r="EL283" s="280"/>
      <c r="EM283" s="280"/>
      <c r="EN283" s="280"/>
      <c r="EO283" s="280"/>
      <c r="EP283" s="521"/>
      <c r="EQ283" s="521"/>
      <c r="ER283" s="521"/>
      <c r="ES283" s="521"/>
      <c r="ET283" s="521"/>
      <c r="EU283" s="521"/>
      <c r="EV283" s="521"/>
      <c r="EW283" s="521"/>
      <c r="EX283" s="521"/>
      <c r="EY283" s="521"/>
      <c r="EZ283" s="521"/>
      <c r="FA283" s="521"/>
      <c r="FB283" s="521"/>
      <c r="FC283" s="521"/>
      <c r="FD283" s="521"/>
      <c r="FE283" s="521"/>
      <c r="FF283" s="521"/>
      <c r="FG283" s="521"/>
      <c r="FH283" s="567"/>
      <c r="FI283" s="567"/>
      <c r="FJ283" s="567"/>
      <c r="FK283" s="567"/>
      <c r="FL283" s="567"/>
      <c r="FM283" s="567"/>
      <c r="FN283" s="567"/>
      <c r="FO283" s="567"/>
    </row>
    <row r="284" spans="1:171" s="568" customFormat="1" ht="13.9" customHeight="1">
      <c r="A284" s="566"/>
      <c r="B284" s="566"/>
      <c r="C284" s="566"/>
      <c r="D284" s="569"/>
      <c r="E284" s="570"/>
      <c r="F284" s="571"/>
      <c r="G284" s="571"/>
      <c r="H284" s="571"/>
      <c r="I284" s="571"/>
      <c r="J284" s="571"/>
      <c r="K284" s="572"/>
      <c r="L284" s="569"/>
      <c r="M284" s="569"/>
      <c r="N284" s="569"/>
      <c r="O284" s="569"/>
      <c r="P284" s="566"/>
      <c r="Q284" s="566"/>
      <c r="R284" s="566"/>
      <c r="S284" s="566"/>
      <c r="T284" s="566"/>
      <c r="U284" s="566"/>
      <c r="V284" s="566"/>
      <c r="W284" s="566"/>
      <c r="X284" s="553"/>
      <c r="Y284" s="553"/>
      <c r="Z284" s="553"/>
      <c r="AA284" s="554"/>
      <c r="AB284" s="550"/>
      <c r="AC284" s="550"/>
      <c r="AD284" s="550"/>
      <c r="AE284" s="307"/>
      <c r="AF284" s="307"/>
      <c r="AG284" s="307"/>
      <c r="AH284" s="307"/>
      <c r="AI284" s="307"/>
      <c r="AJ284" s="307"/>
      <c r="AK284" s="307"/>
      <c r="AL284" s="307"/>
      <c r="AM284" s="307"/>
      <c r="AN284" s="307"/>
      <c r="AO284" s="307"/>
      <c r="AP284" s="307"/>
      <c r="AQ284" s="307"/>
      <c r="AR284" s="307"/>
      <c r="AS284" s="307"/>
      <c r="AT284" s="307"/>
      <c r="AU284" s="307"/>
      <c r="AV284" s="307"/>
      <c r="AW284" s="307"/>
      <c r="AX284" s="307"/>
      <c r="AY284" s="307"/>
      <c r="AZ284" s="307"/>
      <c r="BA284" s="307"/>
      <c r="BB284" s="307"/>
      <c r="BC284" s="307"/>
      <c r="BD284" s="307"/>
      <c r="BE284" s="307"/>
      <c r="BF284" s="307"/>
      <c r="BG284" s="307"/>
      <c r="BH284" s="307"/>
      <c r="BI284" s="307"/>
      <c r="BJ284" s="307"/>
      <c r="BK284" s="307"/>
      <c r="BL284" s="307"/>
      <c r="BM284" s="307"/>
      <c r="BN284" s="307"/>
      <c r="BO284" s="307"/>
      <c r="BP284" s="307"/>
      <c r="BQ284" s="307"/>
      <c r="BR284" s="307"/>
      <c r="BS284" s="307"/>
      <c r="BT284" s="307"/>
      <c r="BU284" s="307"/>
      <c r="BV284" s="307"/>
      <c r="BW284" s="307"/>
      <c r="BX284" s="307"/>
      <c r="BY284" s="307"/>
      <c r="BZ284" s="307"/>
      <c r="CA284" s="307"/>
      <c r="CB284" s="307"/>
      <c r="CC284" s="307"/>
      <c r="CD284" s="307"/>
      <c r="CE284" s="307"/>
      <c r="CF284" s="307"/>
      <c r="CG284" s="307"/>
      <c r="CH284" s="307"/>
      <c r="CI284" s="307"/>
      <c r="CJ284" s="307"/>
      <c r="CK284" s="307"/>
      <c r="CL284" s="307"/>
      <c r="CM284" s="307"/>
      <c r="CN284" s="307"/>
      <c r="CO284" s="307"/>
      <c r="CP284" s="307"/>
      <c r="CQ284" s="307"/>
      <c r="CR284" s="307"/>
      <c r="CS284" s="307"/>
      <c r="CT284" s="307"/>
      <c r="CU284" s="307"/>
      <c r="CV284" s="307"/>
      <c r="CW284" s="307"/>
      <c r="CX284" s="307"/>
      <c r="CY284" s="307"/>
      <c r="CZ284" s="307"/>
      <c r="DA284" s="307"/>
      <c r="DB284" s="280"/>
      <c r="DC284" s="280"/>
      <c r="DD284" s="280"/>
      <c r="DE284" s="280"/>
      <c r="DF284" s="280"/>
      <c r="DG284" s="280"/>
      <c r="DH284" s="280"/>
      <c r="DI284" s="280"/>
      <c r="DJ284" s="280"/>
      <c r="DK284" s="280"/>
      <c r="DL284" s="280"/>
      <c r="DM284" s="280"/>
      <c r="DN284" s="280"/>
      <c r="DO284" s="280"/>
      <c r="DP284" s="280"/>
      <c r="DQ284" s="280"/>
      <c r="DR284" s="280"/>
      <c r="DS284" s="280"/>
      <c r="DT284" s="280"/>
      <c r="DU284" s="280"/>
      <c r="DV284" s="280"/>
      <c r="DW284" s="280"/>
      <c r="DX284" s="280"/>
      <c r="DY284" s="280"/>
      <c r="DZ284" s="280"/>
      <c r="EA284" s="280"/>
      <c r="EB284" s="280"/>
      <c r="EC284" s="280"/>
      <c r="ED284" s="280"/>
      <c r="EE284" s="280"/>
      <c r="EF284" s="280"/>
      <c r="EG284" s="280"/>
      <c r="EH284" s="280"/>
      <c r="EI284" s="280"/>
      <c r="EJ284" s="280"/>
      <c r="EK284" s="280"/>
      <c r="EL284" s="280"/>
      <c r="EM284" s="280"/>
      <c r="EN284" s="280"/>
      <c r="EO284" s="280"/>
      <c r="EP284" s="521"/>
      <c r="EQ284" s="521"/>
      <c r="ER284" s="521"/>
      <c r="ES284" s="521"/>
      <c r="ET284" s="521"/>
      <c r="EU284" s="521"/>
      <c r="EV284" s="521"/>
      <c r="EW284" s="521"/>
      <c r="EX284" s="521"/>
      <c r="EY284" s="521"/>
      <c r="EZ284" s="521"/>
      <c r="FA284" s="521"/>
      <c r="FB284" s="521"/>
      <c r="FC284" s="521"/>
      <c r="FD284" s="521"/>
      <c r="FE284" s="521"/>
      <c r="FF284" s="521"/>
      <c r="FG284" s="521"/>
      <c r="FH284" s="567"/>
      <c r="FI284" s="567"/>
      <c r="FJ284" s="567"/>
      <c r="FK284" s="567"/>
      <c r="FL284" s="567"/>
      <c r="FM284" s="567"/>
      <c r="FN284" s="567"/>
      <c r="FO284" s="567"/>
    </row>
    <row r="285" spans="1:171" s="568" customFormat="1" ht="13.9" customHeight="1">
      <c r="A285" s="566"/>
      <c r="B285" s="566"/>
      <c r="C285" s="566"/>
      <c r="D285" s="569"/>
      <c r="E285" s="570"/>
      <c r="F285" s="571"/>
      <c r="G285" s="571"/>
      <c r="H285" s="571"/>
      <c r="I285" s="571"/>
      <c r="J285" s="571"/>
      <c r="K285" s="572"/>
      <c r="L285" s="569"/>
      <c r="M285" s="569"/>
      <c r="N285" s="569"/>
      <c r="O285" s="569"/>
      <c r="P285" s="566"/>
      <c r="Q285" s="566"/>
      <c r="R285" s="566"/>
      <c r="S285" s="566"/>
      <c r="T285" s="566"/>
      <c r="U285" s="566"/>
      <c r="V285" s="566"/>
      <c r="W285" s="566"/>
      <c r="X285" s="553"/>
      <c r="Y285" s="553"/>
      <c r="Z285" s="553"/>
      <c r="AA285" s="554"/>
      <c r="AB285" s="550"/>
      <c r="AC285" s="550"/>
      <c r="AD285" s="550"/>
      <c r="AE285" s="307"/>
      <c r="AF285" s="307"/>
      <c r="AG285" s="307"/>
      <c r="AH285" s="307"/>
      <c r="AI285" s="307"/>
      <c r="AJ285" s="307"/>
      <c r="AK285" s="307"/>
      <c r="AL285" s="307"/>
      <c r="AM285" s="307"/>
      <c r="AN285" s="307"/>
      <c r="AO285" s="307"/>
      <c r="AP285" s="307"/>
      <c r="AQ285" s="307"/>
      <c r="AR285" s="307"/>
      <c r="AS285" s="307"/>
      <c r="AT285" s="307"/>
      <c r="AU285" s="307"/>
      <c r="AV285" s="307"/>
      <c r="AW285" s="307"/>
      <c r="AX285" s="307"/>
      <c r="AY285" s="307"/>
      <c r="AZ285" s="307"/>
      <c r="BA285" s="307"/>
      <c r="BB285" s="307"/>
      <c r="BC285" s="307"/>
      <c r="BD285" s="307"/>
      <c r="BE285" s="307"/>
      <c r="BF285" s="307"/>
      <c r="BG285" s="307"/>
      <c r="BH285" s="307"/>
      <c r="BI285" s="307"/>
      <c r="BJ285" s="307"/>
      <c r="BK285" s="307"/>
      <c r="BL285" s="307"/>
      <c r="BM285" s="307"/>
      <c r="BN285" s="307"/>
      <c r="BO285" s="307"/>
      <c r="BP285" s="307"/>
      <c r="BQ285" s="307"/>
      <c r="BR285" s="307"/>
      <c r="BS285" s="307"/>
      <c r="BT285" s="307"/>
      <c r="BU285" s="307"/>
      <c r="BV285" s="307"/>
      <c r="BW285" s="307"/>
      <c r="BX285" s="307"/>
      <c r="BY285" s="307"/>
      <c r="BZ285" s="307"/>
      <c r="CA285" s="307"/>
      <c r="CB285" s="307"/>
      <c r="CC285" s="307"/>
      <c r="CD285" s="307"/>
      <c r="CE285" s="307"/>
      <c r="CF285" s="307"/>
      <c r="CG285" s="307"/>
      <c r="CH285" s="307"/>
      <c r="CI285" s="307"/>
      <c r="CJ285" s="307"/>
      <c r="CK285" s="307"/>
      <c r="CL285" s="307"/>
      <c r="CM285" s="307"/>
      <c r="CN285" s="307"/>
      <c r="CO285" s="307"/>
      <c r="CP285" s="307"/>
      <c r="CQ285" s="307"/>
      <c r="CR285" s="307"/>
      <c r="CS285" s="307"/>
      <c r="CT285" s="307"/>
      <c r="CU285" s="307"/>
      <c r="CV285" s="307"/>
      <c r="CW285" s="307"/>
      <c r="CX285" s="307"/>
      <c r="CY285" s="307"/>
      <c r="CZ285" s="307"/>
      <c r="DA285" s="307"/>
      <c r="DB285" s="280"/>
      <c r="DC285" s="280"/>
      <c r="DD285" s="280"/>
      <c r="DE285" s="280"/>
      <c r="DF285" s="280"/>
      <c r="DG285" s="280"/>
      <c r="DH285" s="280"/>
      <c r="DI285" s="280"/>
      <c r="DJ285" s="280"/>
      <c r="DK285" s="280"/>
      <c r="DL285" s="280"/>
      <c r="DM285" s="280"/>
      <c r="DN285" s="280"/>
      <c r="DO285" s="280"/>
      <c r="DP285" s="280"/>
      <c r="DQ285" s="280"/>
      <c r="DR285" s="280"/>
      <c r="DS285" s="280"/>
      <c r="DT285" s="280"/>
      <c r="DU285" s="280"/>
      <c r="DV285" s="280"/>
      <c r="DW285" s="280"/>
      <c r="DX285" s="280"/>
      <c r="DY285" s="280"/>
      <c r="DZ285" s="280"/>
      <c r="EA285" s="280"/>
      <c r="EB285" s="280"/>
      <c r="EC285" s="280"/>
      <c r="ED285" s="280"/>
      <c r="EE285" s="280"/>
      <c r="EF285" s="280"/>
      <c r="EG285" s="280"/>
      <c r="EH285" s="280"/>
      <c r="EI285" s="280"/>
      <c r="EJ285" s="280"/>
      <c r="EK285" s="280"/>
      <c r="EL285" s="280"/>
      <c r="EM285" s="280"/>
      <c r="EN285" s="280"/>
      <c r="EO285" s="280"/>
      <c r="EP285" s="521"/>
      <c r="EQ285" s="521"/>
      <c r="ER285" s="521"/>
      <c r="ES285" s="521"/>
      <c r="ET285" s="521"/>
      <c r="EU285" s="521"/>
      <c r="EV285" s="521"/>
      <c r="EW285" s="521"/>
      <c r="EX285" s="521"/>
      <c r="EY285" s="521"/>
      <c r="EZ285" s="521"/>
      <c r="FA285" s="521"/>
      <c r="FB285" s="521"/>
      <c r="FC285" s="521"/>
      <c r="FD285" s="521"/>
      <c r="FE285" s="521"/>
      <c r="FF285" s="521"/>
      <c r="FG285" s="521"/>
      <c r="FH285" s="567"/>
      <c r="FI285" s="567"/>
      <c r="FJ285" s="567"/>
      <c r="FK285" s="567"/>
      <c r="FL285" s="567"/>
      <c r="FM285" s="567"/>
      <c r="FN285" s="567"/>
      <c r="FO285" s="567"/>
    </row>
    <row r="286" spans="1:171" s="568" customFormat="1" ht="13.9" customHeight="1">
      <c r="A286" s="566"/>
      <c r="B286" s="566"/>
      <c r="C286" s="566"/>
      <c r="D286" s="569"/>
      <c r="E286" s="570"/>
      <c r="F286" s="571"/>
      <c r="G286" s="571"/>
      <c r="H286" s="571"/>
      <c r="I286" s="571"/>
      <c r="J286" s="571"/>
      <c r="K286" s="572"/>
      <c r="L286" s="569"/>
      <c r="M286" s="569"/>
      <c r="N286" s="569"/>
      <c r="O286" s="569"/>
      <c r="P286" s="566"/>
      <c r="Q286" s="566"/>
      <c r="R286" s="566"/>
      <c r="S286" s="566"/>
      <c r="T286" s="566"/>
      <c r="U286" s="566"/>
      <c r="V286" s="566"/>
      <c r="W286" s="566"/>
      <c r="X286" s="553"/>
      <c r="Y286" s="553"/>
      <c r="Z286" s="553"/>
      <c r="AA286" s="554"/>
      <c r="AB286" s="550"/>
      <c r="AC286" s="550"/>
      <c r="AD286" s="550"/>
      <c r="AE286" s="307"/>
      <c r="AF286" s="307"/>
      <c r="AG286" s="307"/>
      <c r="AH286" s="307"/>
      <c r="AI286" s="307"/>
      <c r="AJ286" s="307"/>
      <c r="AK286" s="307"/>
      <c r="AL286" s="307"/>
      <c r="AM286" s="307"/>
      <c r="AN286" s="307"/>
      <c r="AO286" s="307"/>
      <c r="AP286" s="307"/>
      <c r="AQ286" s="307"/>
      <c r="AR286" s="307"/>
      <c r="AS286" s="307"/>
      <c r="AT286" s="307"/>
      <c r="AU286" s="307"/>
      <c r="AV286" s="307"/>
      <c r="AW286" s="307"/>
      <c r="AX286" s="307"/>
      <c r="AY286" s="307"/>
      <c r="AZ286" s="307"/>
      <c r="BA286" s="307"/>
      <c r="BB286" s="307"/>
      <c r="BC286" s="307"/>
      <c r="BD286" s="307"/>
      <c r="BE286" s="307"/>
      <c r="BF286" s="307"/>
      <c r="BG286" s="307"/>
      <c r="BH286" s="307"/>
      <c r="BI286" s="307"/>
      <c r="BJ286" s="307"/>
      <c r="BK286" s="307"/>
      <c r="BL286" s="307"/>
      <c r="BM286" s="307"/>
      <c r="BN286" s="307"/>
      <c r="BO286" s="307"/>
      <c r="BP286" s="307"/>
      <c r="BQ286" s="307"/>
      <c r="BR286" s="307"/>
      <c r="BS286" s="307"/>
      <c r="BT286" s="307"/>
      <c r="BU286" s="307"/>
      <c r="BV286" s="307"/>
      <c r="BW286" s="307"/>
      <c r="BX286" s="307"/>
      <c r="BY286" s="307"/>
      <c r="BZ286" s="307"/>
      <c r="CA286" s="307"/>
      <c r="CB286" s="307"/>
      <c r="CC286" s="307"/>
      <c r="CD286" s="307"/>
      <c r="CE286" s="307"/>
      <c r="CF286" s="307"/>
      <c r="CG286" s="307"/>
      <c r="CH286" s="307"/>
      <c r="CI286" s="307"/>
      <c r="CJ286" s="307"/>
      <c r="CK286" s="307"/>
      <c r="CL286" s="307"/>
      <c r="CM286" s="307"/>
      <c r="CN286" s="307"/>
      <c r="CO286" s="307"/>
      <c r="CP286" s="307"/>
      <c r="CQ286" s="307"/>
      <c r="CR286" s="307"/>
      <c r="CS286" s="307"/>
      <c r="CT286" s="307"/>
      <c r="CU286" s="307"/>
      <c r="CV286" s="307"/>
      <c r="CW286" s="307"/>
      <c r="CX286" s="307"/>
      <c r="CY286" s="307"/>
      <c r="CZ286" s="307"/>
      <c r="DA286" s="307"/>
      <c r="DB286" s="280"/>
      <c r="DC286" s="280"/>
      <c r="DD286" s="280"/>
      <c r="DE286" s="280"/>
      <c r="DF286" s="280"/>
      <c r="DG286" s="280"/>
      <c r="DH286" s="280"/>
      <c r="DI286" s="280"/>
      <c r="DJ286" s="280"/>
      <c r="DK286" s="280"/>
      <c r="DL286" s="280"/>
      <c r="DM286" s="280"/>
      <c r="DN286" s="280"/>
      <c r="DO286" s="280"/>
      <c r="DP286" s="280"/>
      <c r="DQ286" s="280"/>
      <c r="DR286" s="280"/>
      <c r="DS286" s="280"/>
      <c r="DT286" s="280"/>
      <c r="DU286" s="280"/>
      <c r="DV286" s="280"/>
      <c r="DW286" s="280"/>
      <c r="DX286" s="280"/>
      <c r="DY286" s="280"/>
      <c r="DZ286" s="280"/>
      <c r="EA286" s="280"/>
      <c r="EB286" s="280"/>
      <c r="EC286" s="280"/>
      <c r="ED286" s="280"/>
      <c r="EE286" s="280"/>
      <c r="EF286" s="280"/>
      <c r="EG286" s="280"/>
      <c r="EH286" s="280"/>
      <c r="EI286" s="280"/>
      <c r="EJ286" s="280"/>
      <c r="EK286" s="280"/>
      <c r="EL286" s="280"/>
      <c r="EM286" s="280"/>
      <c r="EN286" s="280"/>
      <c r="EO286" s="280"/>
      <c r="EP286" s="521"/>
      <c r="EQ286" s="521"/>
      <c r="ER286" s="521"/>
      <c r="ES286" s="521"/>
      <c r="ET286" s="521"/>
      <c r="EU286" s="521"/>
      <c r="EV286" s="521"/>
      <c r="EW286" s="521"/>
      <c r="EX286" s="521"/>
      <c r="EY286" s="521"/>
      <c r="EZ286" s="521"/>
      <c r="FA286" s="521"/>
      <c r="FB286" s="521"/>
      <c r="FC286" s="521"/>
      <c r="FD286" s="521"/>
      <c r="FE286" s="521"/>
      <c r="FF286" s="521"/>
      <c r="FG286" s="521"/>
      <c r="FH286" s="567"/>
      <c r="FI286" s="567"/>
      <c r="FJ286" s="567"/>
      <c r="FK286" s="567"/>
      <c r="FL286" s="567"/>
      <c r="FM286" s="567"/>
      <c r="FN286" s="567"/>
      <c r="FO286" s="567"/>
    </row>
    <row r="287" spans="1:171" s="568" customFormat="1" ht="13.9" customHeight="1">
      <c r="A287" s="566"/>
      <c r="B287" s="566"/>
      <c r="C287" s="566"/>
      <c r="D287" s="569"/>
      <c r="E287" s="570"/>
      <c r="F287" s="571"/>
      <c r="G287" s="571"/>
      <c r="H287" s="571"/>
      <c r="I287" s="571"/>
      <c r="J287" s="571"/>
      <c r="K287" s="572"/>
      <c r="L287" s="569"/>
      <c r="M287" s="569"/>
      <c r="N287" s="569"/>
      <c r="O287" s="569"/>
      <c r="P287" s="566"/>
      <c r="Q287" s="566"/>
      <c r="R287" s="566"/>
      <c r="S287" s="566"/>
      <c r="T287" s="566"/>
      <c r="U287" s="566"/>
      <c r="V287" s="566"/>
      <c r="W287" s="566"/>
      <c r="X287" s="553"/>
      <c r="Y287" s="553"/>
      <c r="Z287" s="553"/>
      <c r="AA287" s="554"/>
      <c r="AB287" s="550"/>
      <c r="AC287" s="550"/>
      <c r="AD287" s="550"/>
      <c r="AE287" s="307"/>
      <c r="AF287" s="307"/>
      <c r="AG287" s="307"/>
      <c r="AH287" s="307"/>
      <c r="AI287" s="307"/>
      <c r="AJ287" s="307"/>
      <c r="AK287" s="307"/>
      <c r="AL287" s="307"/>
      <c r="AM287" s="307"/>
      <c r="AN287" s="307"/>
      <c r="AO287" s="307"/>
      <c r="AP287" s="307"/>
      <c r="AQ287" s="307"/>
      <c r="AR287" s="307"/>
      <c r="AS287" s="307"/>
      <c r="AT287" s="307"/>
      <c r="AU287" s="307"/>
      <c r="AV287" s="307"/>
      <c r="AW287" s="307"/>
      <c r="AX287" s="307"/>
      <c r="AY287" s="307"/>
      <c r="AZ287" s="307"/>
      <c r="BA287" s="307"/>
      <c r="BB287" s="307"/>
      <c r="BC287" s="307"/>
      <c r="BD287" s="307"/>
      <c r="BE287" s="307"/>
      <c r="BF287" s="307"/>
      <c r="BG287" s="307"/>
      <c r="BH287" s="307"/>
      <c r="BI287" s="307"/>
      <c r="BJ287" s="307"/>
      <c r="BK287" s="307"/>
      <c r="BL287" s="307"/>
      <c r="BM287" s="307"/>
      <c r="BN287" s="307"/>
      <c r="BO287" s="307"/>
      <c r="BP287" s="307"/>
      <c r="BQ287" s="307"/>
      <c r="BR287" s="307"/>
      <c r="BS287" s="307"/>
      <c r="BT287" s="307"/>
      <c r="BU287" s="307"/>
      <c r="BV287" s="307"/>
      <c r="BW287" s="307"/>
      <c r="BX287" s="307"/>
      <c r="BY287" s="307"/>
      <c r="BZ287" s="307"/>
      <c r="CA287" s="307"/>
      <c r="CB287" s="307"/>
      <c r="CC287" s="307"/>
      <c r="CD287" s="307"/>
      <c r="CE287" s="307"/>
      <c r="CF287" s="307"/>
      <c r="CG287" s="307"/>
      <c r="CH287" s="307"/>
      <c r="CI287" s="307"/>
      <c r="CJ287" s="307"/>
      <c r="CK287" s="307"/>
      <c r="CL287" s="307"/>
      <c r="CM287" s="307"/>
      <c r="CN287" s="307"/>
      <c r="CO287" s="307"/>
      <c r="CP287" s="307"/>
      <c r="CQ287" s="307"/>
      <c r="CR287" s="307"/>
      <c r="CS287" s="307"/>
      <c r="CT287" s="307"/>
      <c r="CU287" s="307"/>
      <c r="CV287" s="307"/>
      <c r="CW287" s="307"/>
      <c r="CX287" s="307"/>
      <c r="CY287" s="307"/>
      <c r="CZ287" s="307"/>
      <c r="DA287" s="307"/>
      <c r="DB287" s="280"/>
      <c r="DC287" s="280"/>
      <c r="DD287" s="280"/>
      <c r="DE287" s="280"/>
      <c r="DF287" s="280"/>
      <c r="DG287" s="280"/>
      <c r="DH287" s="280"/>
      <c r="DI287" s="280"/>
      <c r="DJ287" s="280"/>
      <c r="DK287" s="280"/>
      <c r="DL287" s="280"/>
      <c r="DM287" s="280"/>
      <c r="DN287" s="280"/>
      <c r="DO287" s="280"/>
      <c r="DP287" s="280"/>
      <c r="DQ287" s="280"/>
      <c r="DR287" s="280"/>
      <c r="DS287" s="280"/>
      <c r="DT287" s="280"/>
      <c r="DU287" s="280"/>
      <c r="DV287" s="280"/>
      <c r="DW287" s="280"/>
      <c r="DX287" s="280"/>
      <c r="DY287" s="280"/>
      <c r="DZ287" s="280"/>
      <c r="EA287" s="280"/>
      <c r="EB287" s="280"/>
      <c r="EC287" s="280"/>
      <c r="ED287" s="280"/>
      <c r="EE287" s="280"/>
      <c r="EF287" s="280"/>
      <c r="EG287" s="280"/>
      <c r="EH287" s="280"/>
      <c r="EI287" s="280"/>
      <c r="EJ287" s="280"/>
      <c r="EK287" s="280"/>
      <c r="EL287" s="280"/>
      <c r="EM287" s="280"/>
      <c r="EN287" s="280"/>
      <c r="EO287" s="280"/>
      <c r="EP287" s="521"/>
      <c r="EQ287" s="521"/>
      <c r="ER287" s="521"/>
      <c r="ES287" s="521"/>
      <c r="ET287" s="521"/>
      <c r="EU287" s="521"/>
      <c r="EV287" s="521"/>
      <c r="EW287" s="521"/>
      <c r="EX287" s="521"/>
      <c r="EY287" s="521"/>
      <c r="EZ287" s="521"/>
      <c r="FA287" s="521"/>
      <c r="FB287" s="521"/>
      <c r="FC287" s="521"/>
      <c r="FD287" s="521"/>
      <c r="FE287" s="521"/>
      <c r="FF287" s="521"/>
      <c r="FG287" s="521"/>
      <c r="FH287" s="567"/>
      <c r="FI287" s="567"/>
      <c r="FJ287" s="567"/>
      <c r="FK287" s="567"/>
      <c r="FL287" s="567"/>
      <c r="FM287" s="567"/>
      <c r="FN287" s="567"/>
      <c r="FO287" s="567"/>
    </row>
    <row r="288" spans="1:171" s="568" customFormat="1" ht="13.9" customHeight="1">
      <c r="A288" s="566"/>
      <c r="B288" s="566"/>
      <c r="C288" s="566"/>
      <c r="D288" s="569"/>
      <c r="E288" s="570"/>
      <c r="F288" s="571"/>
      <c r="G288" s="571"/>
      <c r="H288" s="571"/>
      <c r="I288" s="571"/>
      <c r="J288" s="571"/>
      <c r="K288" s="572"/>
      <c r="L288" s="569"/>
      <c r="M288" s="569"/>
      <c r="N288" s="569"/>
      <c r="O288" s="569"/>
      <c r="P288" s="566"/>
      <c r="Q288" s="566"/>
      <c r="R288" s="566"/>
      <c r="S288" s="566"/>
      <c r="T288" s="566"/>
      <c r="U288" s="566"/>
      <c r="V288" s="566"/>
      <c r="W288" s="566"/>
      <c r="X288" s="553"/>
      <c r="Y288" s="553"/>
      <c r="Z288" s="553"/>
      <c r="AA288" s="554"/>
      <c r="AB288" s="550"/>
      <c r="AC288" s="550"/>
      <c r="AD288" s="550"/>
      <c r="AE288" s="307"/>
      <c r="AF288" s="307"/>
      <c r="AG288" s="307"/>
      <c r="AH288" s="307"/>
      <c r="AI288" s="307"/>
      <c r="AJ288" s="307"/>
      <c r="AK288" s="307"/>
      <c r="AL288" s="307"/>
      <c r="AM288" s="307"/>
      <c r="AN288" s="307"/>
      <c r="AO288" s="307"/>
      <c r="AP288" s="307"/>
      <c r="AQ288" s="307"/>
      <c r="AR288" s="307"/>
      <c r="AS288" s="307"/>
      <c r="AT288" s="307"/>
      <c r="AU288" s="307"/>
      <c r="AV288" s="307"/>
      <c r="AW288" s="307"/>
      <c r="AX288" s="307"/>
      <c r="AY288" s="307"/>
      <c r="AZ288" s="307"/>
      <c r="BA288" s="307"/>
      <c r="BB288" s="307"/>
      <c r="BC288" s="307"/>
      <c r="BD288" s="307"/>
      <c r="BE288" s="307"/>
      <c r="BF288" s="307"/>
      <c r="BG288" s="307"/>
      <c r="BH288" s="307"/>
      <c r="BI288" s="307"/>
      <c r="BJ288" s="307"/>
      <c r="BK288" s="307"/>
      <c r="BL288" s="307"/>
      <c r="BM288" s="307"/>
      <c r="BN288" s="307"/>
      <c r="BO288" s="307"/>
      <c r="BP288" s="307"/>
      <c r="BQ288" s="307"/>
      <c r="BR288" s="307"/>
      <c r="BS288" s="307"/>
      <c r="BT288" s="307"/>
      <c r="BU288" s="307"/>
      <c r="BV288" s="307"/>
      <c r="BW288" s="307"/>
      <c r="BX288" s="307"/>
      <c r="BY288" s="307"/>
      <c r="BZ288" s="307"/>
      <c r="CA288" s="307"/>
      <c r="CB288" s="307"/>
      <c r="CC288" s="307"/>
      <c r="CD288" s="307"/>
      <c r="CE288" s="307"/>
      <c r="CF288" s="307"/>
      <c r="CG288" s="307"/>
      <c r="CH288" s="307"/>
      <c r="CI288" s="307"/>
      <c r="CJ288" s="307"/>
      <c r="CK288" s="307"/>
      <c r="CL288" s="307"/>
      <c r="CM288" s="307"/>
      <c r="CN288" s="307"/>
      <c r="CO288" s="307"/>
      <c r="CP288" s="307"/>
      <c r="CQ288" s="307"/>
      <c r="CR288" s="307"/>
      <c r="CS288" s="307"/>
      <c r="CT288" s="307"/>
      <c r="CU288" s="307"/>
      <c r="CV288" s="307"/>
      <c r="CW288" s="307"/>
      <c r="CX288" s="307"/>
      <c r="CY288" s="307"/>
      <c r="CZ288" s="307"/>
      <c r="DA288" s="307"/>
      <c r="DB288" s="280"/>
      <c r="DC288" s="280"/>
      <c r="DD288" s="280"/>
      <c r="DE288" s="280"/>
      <c r="DF288" s="280"/>
      <c r="DG288" s="280"/>
      <c r="DH288" s="280"/>
      <c r="DI288" s="280"/>
      <c r="DJ288" s="280"/>
      <c r="DK288" s="280"/>
      <c r="DL288" s="280"/>
      <c r="DM288" s="280"/>
      <c r="DN288" s="280"/>
      <c r="DO288" s="280"/>
      <c r="DP288" s="280"/>
      <c r="DQ288" s="280"/>
      <c r="DR288" s="280"/>
      <c r="DS288" s="280"/>
      <c r="DT288" s="280"/>
      <c r="DU288" s="280"/>
      <c r="DV288" s="280"/>
      <c r="DW288" s="280"/>
      <c r="DX288" s="280"/>
      <c r="DY288" s="280"/>
      <c r="DZ288" s="280"/>
      <c r="EA288" s="280"/>
      <c r="EB288" s="280"/>
      <c r="EC288" s="280"/>
      <c r="ED288" s="280"/>
      <c r="EE288" s="280"/>
      <c r="EF288" s="280"/>
      <c r="EG288" s="280"/>
      <c r="EH288" s="280"/>
      <c r="EI288" s="280"/>
      <c r="EJ288" s="280"/>
      <c r="EK288" s="280"/>
      <c r="EL288" s="280"/>
      <c r="EM288" s="280"/>
      <c r="EN288" s="280"/>
      <c r="EO288" s="280"/>
      <c r="EP288" s="521"/>
      <c r="EQ288" s="521"/>
      <c r="ER288" s="521"/>
      <c r="ES288" s="521"/>
      <c r="ET288" s="521"/>
      <c r="EU288" s="521"/>
      <c r="EV288" s="521"/>
      <c r="EW288" s="521"/>
      <c r="EX288" s="521"/>
      <c r="EY288" s="521"/>
      <c r="EZ288" s="521"/>
      <c r="FA288" s="521"/>
      <c r="FB288" s="521"/>
      <c r="FC288" s="521"/>
      <c r="FD288" s="521"/>
      <c r="FE288" s="521"/>
      <c r="FF288" s="521"/>
      <c r="FG288" s="521"/>
      <c r="FH288" s="567"/>
      <c r="FI288" s="567"/>
      <c r="FJ288" s="567"/>
      <c r="FK288" s="567"/>
      <c r="FL288" s="567"/>
      <c r="FM288" s="567"/>
      <c r="FN288" s="567"/>
      <c r="FO288" s="567"/>
    </row>
    <row r="289" spans="1:171" s="568" customFormat="1" ht="13.9" customHeight="1">
      <c r="A289" s="566"/>
      <c r="B289" s="566"/>
      <c r="C289" s="566"/>
      <c r="D289" s="569"/>
      <c r="E289" s="570"/>
      <c r="F289" s="571"/>
      <c r="G289" s="571"/>
      <c r="H289" s="571"/>
      <c r="I289" s="571"/>
      <c r="J289" s="571"/>
      <c r="K289" s="572"/>
      <c r="L289" s="569"/>
      <c r="M289" s="569"/>
      <c r="N289" s="569"/>
      <c r="O289" s="569"/>
      <c r="P289" s="566"/>
      <c r="Q289" s="566"/>
      <c r="R289" s="566"/>
      <c r="S289" s="566"/>
      <c r="T289" s="566"/>
      <c r="U289" s="566"/>
      <c r="V289" s="566"/>
      <c r="W289" s="566"/>
      <c r="X289" s="553"/>
      <c r="Y289" s="553"/>
      <c r="Z289" s="553"/>
      <c r="AA289" s="554"/>
      <c r="AB289" s="550"/>
      <c r="AC289" s="550"/>
      <c r="AD289" s="550"/>
      <c r="AE289" s="307"/>
      <c r="AF289" s="307"/>
      <c r="AG289" s="307"/>
      <c r="AH289" s="307"/>
      <c r="AI289" s="307"/>
      <c r="AJ289" s="307"/>
      <c r="AK289" s="307"/>
      <c r="AL289" s="307"/>
      <c r="AM289" s="307"/>
      <c r="AN289" s="307"/>
      <c r="AO289" s="307"/>
      <c r="AP289" s="307"/>
      <c r="AQ289" s="307"/>
      <c r="AR289" s="307"/>
      <c r="AS289" s="307"/>
      <c r="AT289" s="307"/>
      <c r="AU289" s="307"/>
      <c r="AV289" s="307"/>
      <c r="AW289" s="307"/>
      <c r="AX289" s="307"/>
      <c r="AY289" s="307"/>
      <c r="AZ289" s="307"/>
      <c r="BA289" s="307"/>
      <c r="BB289" s="307"/>
      <c r="BC289" s="307"/>
      <c r="BD289" s="307"/>
      <c r="BE289" s="307"/>
      <c r="BF289" s="307"/>
      <c r="BG289" s="307"/>
      <c r="BH289" s="307"/>
      <c r="BI289" s="307"/>
      <c r="BJ289" s="307"/>
      <c r="BK289" s="307"/>
      <c r="BL289" s="307"/>
      <c r="BM289" s="307"/>
      <c r="BN289" s="307"/>
      <c r="BO289" s="307"/>
      <c r="BP289" s="307"/>
      <c r="BQ289" s="307"/>
      <c r="BR289" s="307"/>
      <c r="BS289" s="307"/>
      <c r="BT289" s="307"/>
      <c r="BU289" s="307"/>
      <c r="BV289" s="307"/>
      <c r="BW289" s="307"/>
      <c r="BX289" s="307"/>
      <c r="BY289" s="307"/>
      <c r="BZ289" s="307"/>
      <c r="CA289" s="307"/>
      <c r="CB289" s="307"/>
      <c r="CC289" s="307"/>
      <c r="CD289" s="307"/>
      <c r="CE289" s="307"/>
      <c r="CF289" s="307"/>
      <c r="CG289" s="307"/>
      <c r="CH289" s="307"/>
      <c r="CI289" s="307"/>
      <c r="CJ289" s="307"/>
      <c r="CK289" s="307"/>
      <c r="CL289" s="307"/>
      <c r="CM289" s="307"/>
      <c r="CN289" s="307"/>
      <c r="CO289" s="307"/>
      <c r="CP289" s="307"/>
      <c r="CQ289" s="307"/>
      <c r="CR289" s="307"/>
      <c r="CS289" s="307"/>
      <c r="CT289" s="307"/>
      <c r="CU289" s="307"/>
      <c r="CV289" s="307"/>
      <c r="CW289" s="307"/>
      <c r="CX289" s="307"/>
      <c r="CY289" s="307"/>
      <c r="CZ289" s="307"/>
      <c r="DA289" s="307"/>
      <c r="DB289" s="280"/>
      <c r="DC289" s="280"/>
      <c r="DD289" s="280"/>
      <c r="DE289" s="280"/>
      <c r="DF289" s="280"/>
      <c r="DG289" s="280"/>
      <c r="DH289" s="280"/>
      <c r="DI289" s="280"/>
      <c r="DJ289" s="280"/>
      <c r="DK289" s="280"/>
      <c r="DL289" s="280"/>
      <c r="DM289" s="280"/>
      <c r="DN289" s="280"/>
      <c r="DO289" s="280"/>
      <c r="DP289" s="280"/>
      <c r="DQ289" s="280"/>
      <c r="DR289" s="280"/>
      <c r="DS289" s="280"/>
      <c r="DT289" s="280"/>
      <c r="DU289" s="280"/>
      <c r="DV289" s="280"/>
      <c r="DW289" s="280"/>
      <c r="DX289" s="280"/>
      <c r="DY289" s="280"/>
      <c r="DZ289" s="280"/>
      <c r="EA289" s="280"/>
      <c r="EB289" s="280"/>
      <c r="EC289" s="280"/>
      <c r="ED289" s="280"/>
      <c r="EE289" s="280"/>
      <c r="EF289" s="280"/>
      <c r="EG289" s="280"/>
      <c r="EH289" s="280"/>
      <c r="EI289" s="280"/>
      <c r="EJ289" s="280"/>
      <c r="EK289" s="280"/>
      <c r="EL289" s="280"/>
      <c r="EM289" s="280"/>
      <c r="EN289" s="280"/>
      <c r="EO289" s="280"/>
      <c r="EP289" s="521"/>
      <c r="EQ289" s="521"/>
      <c r="ER289" s="521"/>
      <c r="ES289" s="521"/>
      <c r="ET289" s="521"/>
      <c r="EU289" s="521"/>
      <c r="EV289" s="521"/>
      <c r="EW289" s="521"/>
      <c r="EX289" s="521"/>
      <c r="EY289" s="521"/>
      <c r="EZ289" s="521"/>
      <c r="FA289" s="521"/>
      <c r="FB289" s="521"/>
      <c r="FC289" s="521"/>
      <c r="FD289" s="521"/>
      <c r="FE289" s="521"/>
      <c r="FF289" s="521"/>
      <c r="FG289" s="521"/>
      <c r="FH289" s="567"/>
      <c r="FI289" s="567"/>
      <c r="FJ289" s="567"/>
      <c r="FK289" s="567"/>
      <c r="FL289" s="567"/>
      <c r="FM289" s="567"/>
      <c r="FN289" s="567"/>
      <c r="FO289" s="567"/>
    </row>
    <row r="290" spans="1:171" s="568" customFormat="1" ht="13.9" customHeight="1">
      <c r="A290" s="566"/>
      <c r="B290" s="566"/>
      <c r="C290" s="566"/>
      <c r="D290" s="569"/>
      <c r="E290" s="570"/>
      <c r="F290" s="571"/>
      <c r="G290" s="571"/>
      <c r="H290" s="571"/>
      <c r="I290" s="571"/>
      <c r="J290" s="571"/>
      <c r="K290" s="572"/>
      <c r="L290" s="569"/>
      <c r="M290" s="569"/>
      <c r="N290" s="569"/>
      <c r="O290" s="569"/>
      <c r="P290" s="566"/>
      <c r="Q290" s="566"/>
      <c r="R290" s="566"/>
      <c r="S290" s="566"/>
      <c r="T290" s="566"/>
      <c r="U290" s="566"/>
      <c r="V290" s="566"/>
      <c r="W290" s="566"/>
      <c r="X290" s="553"/>
      <c r="Y290" s="553"/>
      <c r="Z290" s="553"/>
      <c r="AA290" s="554"/>
      <c r="AB290" s="550"/>
      <c r="AC290" s="550"/>
      <c r="AD290" s="550"/>
      <c r="AE290" s="307"/>
      <c r="AF290" s="307"/>
      <c r="AG290" s="307"/>
      <c r="AH290" s="307"/>
      <c r="AI290" s="307"/>
      <c r="AJ290" s="307"/>
      <c r="AK290" s="307"/>
      <c r="AL290" s="307"/>
      <c r="AM290" s="307"/>
      <c r="AN290" s="307"/>
      <c r="AO290" s="307"/>
      <c r="AP290" s="307"/>
      <c r="AQ290" s="307"/>
      <c r="AR290" s="307"/>
      <c r="AS290" s="307"/>
      <c r="AT290" s="307"/>
      <c r="AU290" s="307"/>
      <c r="AV290" s="307"/>
      <c r="AW290" s="307"/>
      <c r="AX290" s="307"/>
      <c r="AY290" s="307"/>
      <c r="AZ290" s="307"/>
      <c r="BA290" s="307"/>
      <c r="BB290" s="307"/>
      <c r="BC290" s="307"/>
      <c r="BD290" s="307"/>
      <c r="BE290" s="307"/>
      <c r="BF290" s="307"/>
      <c r="BG290" s="307"/>
      <c r="BH290" s="307"/>
      <c r="BI290" s="307"/>
      <c r="BJ290" s="307"/>
      <c r="BK290" s="307"/>
      <c r="BL290" s="307"/>
      <c r="BM290" s="307"/>
      <c r="BN290" s="307"/>
      <c r="BO290" s="307"/>
      <c r="BP290" s="307"/>
      <c r="BQ290" s="307"/>
      <c r="BR290" s="307"/>
      <c r="BS290" s="307"/>
      <c r="BT290" s="307"/>
      <c r="BU290" s="307"/>
      <c r="BV290" s="307"/>
      <c r="BW290" s="307"/>
      <c r="BX290" s="307"/>
      <c r="BY290" s="307"/>
      <c r="BZ290" s="307"/>
      <c r="CA290" s="307"/>
      <c r="CB290" s="307"/>
      <c r="CC290" s="307"/>
      <c r="CD290" s="307"/>
      <c r="CE290" s="307"/>
      <c r="CF290" s="307"/>
      <c r="CG290" s="307"/>
      <c r="CH290" s="307"/>
      <c r="CI290" s="307"/>
      <c r="CJ290" s="307"/>
      <c r="CK290" s="307"/>
      <c r="CL290" s="307"/>
      <c r="CM290" s="307"/>
      <c r="CN290" s="307"/>
      <c r="CO290" s="307"/>
      <c r="CP290" s="307"/>
      <c r="CQ290" s="307"/>
      <c r="CR290" s="307"/>
      <c r="CS290" s="307"/>
      <c r="CT290" s="307"/>
      <c r="CU290" s="307"/>
      <c r="CV290" s="307"/>
      <c r="CW290" s="307"/>
      <c r="CX290" s="307"/>
      <c r="CY290" s="307"/>
      <c r="CZ290" s="307"/>
      <c r="DA290" s="307"/>
      <c r="DB290" s="280"/>
      <c r="DC290" s="280"/>
      <c r="DD290" s="280"/>
      <c r="DE290" s="280"/>
      <c r="DF290" s="280"/>
      <c r="DG290" s="280"/>
      <c r="DH290" s="280"/>
      <c r="DI290" s="280"/>
      <c r="DJ290" s="280"/>
      <c r="DK290" s="280"/>
      <c r="DL290" s="280"/>
      <c r="DM290" s="280"/>
      <c r="DN290" s="280"/>
      <c r="DO290" s="280"/>
      <c r="DP290" s="280"/>
      <c r="DQ290" s="280"/>
      <c r="DR290" s="280"/>
      <c r="DS290" s="280"/>
      <c r="DT290" s="280"/>
      <c r="DU290" s="280"/>
      <c r="DV290" s="280"/>
      <c r="DW290" s="280"/>
      <c r="DX290" s="280"/>
      <c r="DY290" s="280"/>
      <c r="DZ290" s="280"/>
      <c r="EA290" s="280"/>
      <c r="EB290" s="280"/>
      <c r="EC290" s="280"/>
      <c r="ED290" s="280"/>
      <c r="EE290" s="280"/>
      <c r="EF290" s="280"/>
      <c r="EG290" s="280"/>
      <c r="EH290" s="280"/>
      <c r="EI290" s="280"/>
      <c r="EJ290" s="280"/>
      <c r="EK290" s="280"/>
      <c r="EL290" s="280"/>
      <c r="EM290" s="280"/>
      <c r="EN290" s="280"/>
      <c r="EO290" s="280"/>
      <c r="EP290" s="521"/>
      <c r="EQ290" s="521"/>
      <c r="ER290" s="521"/>
      <c r="ES290" s="521"/>
      <c r="ET290" s="521"/>
      <c r="EU290" s="521"/>
      <c r="EV290" s="521"/>
      <c r="EW290" s="521"/>
      <c r="EX290" s="521"/>
      <c r="EY290" s="521"/>
      <c r="EZ290" s="521"/>
      <c r="FA290" s="521"/>
      <c r="FB290" s="521"/>
      <c r="FC290" s="521"/>
      <c r="FD290" s="521"/>
      <c r="FE290" s="521"/>
      <c r="FF290" s="521"/>
      <c r="FG290" s="521"/>
      <c r="FH290" s="567"/>
      <c r="FI290" s="567"/>
      <c r="FJ290" s="567"/>
      <c r="FK290" s="567"/>
      <c r="FL290" s="567"/>
      <c r="FM290" s="567"/>
      <c r="FN290" s="567"/>
      <c r="FO290" s="567"/>
    </row>
    <row r="291" spans="1:171" s="568" customFormat="1" ht="13.9" customHeight="1">
      <c r="A291" s="566"/>
      <c r="B291" s="566"/>
      <c r="C291" s="566"/>
      <c r="D291" s="569"/>
      <c r="E291" s="570"/>
      <c r="F291" s="571"/>
      <c r="G291" s="571"/>
      <c r="H291" s="571"/>
      <c r="I291" s="571"/>
      <c r="J291" s="571"/>
      <c r="K291" s="572"/>
      <c r="L291" s="569"/>
      <c r="M291" s="569"/>
      <c r="N291" s="569"/>
      <c r="O291" s="569"/>
      <c r="P291" s="566"/>
      <c r="Q291" s="566"/>
      <c r="R291" s="566"/>
      <c r="S291" s="566"/>
      <c r="T291" s="566"/>
      <c r="U291" s="566"/>
      <c r="V291" s="566"/>
      <c r="W291" s="566"/>
      <c r="X291" s="553"/>
      <c r="Y291" s="553"/>
      <c r="Z291" s="553"/>
      <c r="AA291" s="554"/>
      <c r="AB291" s="550"/>
      <c r="AC291" s="550"/>
      <c r="AD291" s="550"/>
      <c r="AE291" s="307"/>
      <c r="AF291" s="307"/>
      <c r="AG291" s="307"/>
      <c r="AH291" s="307"/>
      <c r="AI291" s="307"/>
      <c r="AJ291" s="307"/>
      <c r="AK291" s="307"/>
      <c r="AL291" s="307"/>
      <c r="AM291" s="307"/>
      <c r="AN291" s="307"/>
      <c r="AO291" s="307"/>
      <c r="AP291" s="307"/>
      <c r="AQ291" s="307"/>
      <c r="AR291" s="307"/>
      <c r="AS291" s="307"/>
      <c r="AT291" s="307"/>
      <c r="AU291" s="307"/>
      <c r="AV291" s="307"/>
      <c r="AW291" s="307"/>
      <c r="AX291" s="307"/>
      <c r="AY291" s="307"/>
      <c r="AZ291" s="307"/>
      <c r="BA291" s="307"/>
      <c r="BB291" s="307"/>
      <c r="BC291" s="307"/>
      <c r="BD291" s="307"/>
      <c r="BE291" s="307"/>
      <c r="BF291" s="307"/>
      <c r="BG291" s="307"/>
      <c r="BH291" s="307"/>
      <c r="BI291" s="307"/>
      <c r="BJ291" s="307"/>
      <c r="BK291" s="307"/>
      <c r="BL291" s="307"/>
      <c r="BM291" s="307"/>
      <c r="BN291" s="307"/>
      <c r="BO291" s="307"/>
      <c r="BP291" s="307"/>
      <c r="BQ291" s="307"/>
      <c r="BR291" s="307"/>
      <c r="BS291" s="307"/>
      <c r="BT291" s="307"/>
      <c r="BU291" s="307"/>
      <c r="BV291" s="307"/>
      <c r="BW291" s="307"/>
      <c r="BX291" s="307"/>
      <c r="BY291" s="307"/>
      <c r="BZ291" s="307"/>
      <c r="CA291" s="307"/>
      <c r="CB291" s="307"/>
      <c r="CC291" s="307"/>
      <c r="CD291" s="307"/>
      <c r="CE291" s="307"/>
      <c r="CF291" s="307"/>
      <c r="CG291" s="307"/>
      <c r="CH291" s="307"/>
      <c r="CI291" s="307"/>
      <c r="CJ291" s="307"/>
      <c r="CK291" s="307"/>
      <c r="CL291" s="307"/>
      <c r="CM291" s="307"/>
      <c r="CN291" s="307"/>
      <c r="CO291" s="307"/>
      <c r="CP291" s="307"/>
      <c r="CQ291" s="307"/>
      <c r="CR291" s="307"/>
      <c r="CS291" s="307"/>
      <c r="CT291" s="307"/>
      <c r="CU291" s="307"/>
      <c r="CV291" s="307"/>
      <c r="CW291" s="307"/>
      <c r="CX291" s="307"/>
      <c r="CY291" s="307"/>
      <c r="CZ291" s="307"/>
      <c r="DA291" s="307"/>
      <c r="DB291" s="280"/>
      <c r="DC291" s="280"/>
      <c r="DD291" s="280"/>
      <c r="DE291" s="280"/>
      <c r="DF291" s="280"/>
      <c r="DG291" s="280"/>
      <c r="DH291" s="280"/>
      <c r="DI291" s="280"/>
      <c r="DJ291" s="280"/>
      <c r="DK291" s="280"/>
      <c r="DL291" s="280"/>
      <c r="DM291" s="280"/>
      <c r="DN291" s="280"/>
      <c r="DO291" s="280"/>
      <c r="DP291" s="280"/>
      <c r="DQ291" s="280"/>
      <c r="DR291" s="280"/>
      <c r="DS291" s="280"/>
      <c r="DT291" s="280"/>
      <c r="DU291" s="280"/>
      <c r="DV291" s="280"/>
      <c r="DW291" s="280"/>
      <c r="DX291" s="280"/>
      <c r="DY291" s="280"/>
      <c r="DZ291" s="280"/>
      <c r="EA291" s="280"/>
      <c r="EB291" s="280"/>
      <c r="EC291" s="280"/>
      <c r="ED291" s="280"/>
      <c r="EE291" s="280"/>
      <c r="EF291" s="280"/>
      <c r="EG291" s="280"/>
      <c r="EH291" s="280"/>
      <c r="EI291" s="280"/>
      <c r="EJ291" s="280"/>
      <c r="EK291" s="280"/>
      <c r="EL291" s="280"/>
      <c r="EM291" s="280"/>
      <c r="EN291" s="280"/>
      <c r="EO291" s="280"/>
      <c r="EP291" s="521"/>
      <c r="EQ291" s="521"/>
      <c r="ER291" s="521"/>
      <c r="ES291" s="521"/>
      <c r="ET291" s="521"/>
      <c r="EU291" s="521"/>
      <c r="EV291" s="521"/>
      <c r="EW291" s="521"/>
      <c r="EX291" s="521"/>
      <c r="EY291" s="521"/>
      <c r="EZ291" s="521"/>
      <c r="FA291" s="521"/>
      <c r="FB291" s="521"/>
      <c r="FC291" s="521"/>
      <c r="FD291" s="521"/>
      <c r="FE291" s="521"/>
      <c r="FF291" s="521"/>
      <c r="FG291" s="521"/>
      <c r="FH291" s="567"/>
      <c r="FI291" s="567"/>
      <c r="FJ291" s="567"/>
      <c r="FK291" s="567"/>
      <c r="FL291" s="567"/>
      <c r="FM291" s="567"/>
      <c r="FN291" s="567"/>
      <c r="FO291" s="567"/>
    </row>
    <row r="292" spans="1:171" s="568" customFormat="1" ht="13.9" customHeight="1">
      <c r="A292" s="566"/>
      <c r="B292" s="566"/>
      <c r="C292" s="566"/>
      <c r="D292" s="569"/>
      <c r="E292" s="570"/>
      <c r="F292" s="571"/>
      <c r="G292" s="571"/>
      <c r="H292" s="571"/>
      <c r="I292" s="571"/>
      <c r="J292" s="571"/>
      <c r="K292" s="572"/>
      <c r="L292" s="569"/>
      <c r="M292" s="569"/>
      <c r="N292" s="569"/>
      <c r="O292" s="569"/>
      <c r="P292" s="566"/>
      <c r="Q292" s="566"/>
      <c r="R292" s="566"/>
      <c r="S292" s="566"/>
      <c r="T292" s="566"/>
      <c r="U292" s="566"/>
      <c r="V292" s="566"/>
      <c r="W292" s="566"/>
      <c r="X292" s="553"/>
      <c r="Y292" s="553"/>
      <c r="Z292" s="553"/>
      <c r="AA292" s="554"/>
      <c r="AB292" s="550"/>
      <c r="AC292" s="550"/>
      <c r="AD292" s="550"/>
      <c r="AE292" s="307"/>
      <c r="AF292" s="307"/>
      <c r="AG292" s="307"/>
      <c r="AH292" s="307"/>
      <c r="AI292" s="307"/>
      <c r="AJ292" s="307"/>
      <c r="AK292" s="307"/>
      <c r="AL292" s="307"/>
      <c r="AM292" s="307"/>
      <c r="AN292" s="307"/>
      <c r="AO292" s="307"/>
      <c r="AP292" s="307"/>
      <c r="AQ292" s="307"/>
      <c r="AR292" s="307"/>
      <c r="AS292" s="307"/>
      <c r="AT292" s="307"/>
      <c r="AU292" s="307"/>
      <c r="AV292" s="307"/>
      <c r="AW292" s="307"/>
      <c r="AX292" s="307"/>
      <c r="AY292" s="307"/>
      <c r="AZ292" s="307"/>
      <c r="BA292" s="307"/>
      <c r="BB292" s="307"/>
      <c r="BC292" s="307"/>
      <c r="BD292" s="307"/>
      <c r="BE292" s="307"/>
      <c r="BF292" s="307"/>
      <c r="BG292" s="307"/>
      <c r="BH292" s="307"/>
      <c r="BI292" s="307"/>
      <c r="BJ292" s="307"/>
      <c r="BK292" s="307"/>
      <c r="BL292" s="307"/>
      <c r="BM292" s="307"/>
      <c r="BN292" s="307"/>
      <c r="BO292" s="307"/>
      <c r="BP292" s="307"/>
      <c r="BQ292" s="307"/>
      <c r="BR292" s="307"/>
      <c r="BS292" s="307"/>
      <c r="BT292" s="307"/>
      <c r="BU292" s="307"/>
      <c r="BV292" s="307"/>
      <c r="BW292" s="307"/>
      <c r="BX292" s="307"/>
      <c r="BY292" s="307"/>
      <c r="BZ292" s="307"/>
      <c r="CA292" s="307"/>
      <c r="CB292" s="307"/>
      <c r="CC292" s="307"/>
      <c r="CD292" s="307"/>
      <c r="CE292" s="307"/>
      <c r="CF292" s="307"/>
      <c r="CG292" s="307"/>
      <c r="CH292" s="307"/>
      <c r="CI292" s="307"/>
      <c r="CJ292" s="307"/>
      <c r="CK292" s="307"/>
      <c r="CL292" s="307"/>
      <c r="CM292" s="307"/>
      <c r="CN292" s="307"/>
      <c r="CO292" s="307"/>
      <c r="CP292" s="307"/>
      <c r="CQ292" s="307"/>
      <c r="CR292" s="307"/>
      <c r="CS292" s="307"/>
      <c r="CT292" s="307"/>
      <c r="CU292" s="307"/>
      <c r="CV292" s="307"/>
      <c r="CW292" s="307"/>
      <c r="CX292" s="307"/>
      <c r="CY292" s="307"/>
      <c r="CZ292" s="307"/>
      <c r="DA292" s="307"/>
      <c r="DB292" s="280"/>
      <c r="DC292" s="280"/>
      <c r="DD292" s="280"/>
      <c r="DE292" s="280"/>
      <c r="DF292" s="280"/>
      <c r="DG292" s="280"/>
      <c r="DH292" s="280"/>
      <c r="DI292" s="280"/>
      <c r="DJ292" s="280"/>
      <c r="DK292" s="280"/>
      <c r="DL292" s="280"/>
      <c r="DM292" s="280"/>
      <c r="DN292" s="280"/>
      <c r="DO292" s="280"/>
      <c r="DP292" s="280"/>
      <c r="DQ292" s="280"/>
      <c r="DR292" s="280"/>
      <c r="DS292" s="280"/>
      <c r="DT292" s="280"/>
      <c r="DU292" s="280"/>
      <c r="DV292" s="280"/>
      <c r="DW292" s="280"/>
      <c r="DX292" s="280"/>
      <c r="DY292" s="280"/>
      <c r="DZ292" s="280"/>
      <c r="EA292" s="280"/>
      <c r="EB292" s="280"/>
      <c r="EC292" s="280"/>
      <c r="ED292" s="280"/>
      <c r="EE292" s="280"/>
      <c r="EF292" s="280"/>
      <c r="EG292" s="280"/>
      <c r="EH292" s="280"/>
      <c r="EI292" s="280"/>
      <c r="EJ292" s="280"/>
      <c r="EK292" s="280"/>
      <c r="EL292" s="280"/>
      <c r="EM292" s="280"/>
      <c r="EN292" s="280"/>
      <c r="EO292" s="280"/>
      <c r="EP292" s="521"/>
      <c r="EQ292" s="521"/>
      <c r="ER292" s="521"/>
      <c r="ES292" s="521"/>
      <c r="ET292" s="521"/>
      <c r="EU292" s="521"/>
      <c r="EV292" s="521"/>
      <c r="EW292" s="521"/>
      <c r="EX292" s="521"/>
      <c r="EY292" s="521"/>
      <c r="EZ292" s="521"/>
      <c r="FA292" s="521"/>
      <c r="FB292" s="521"/>
      <c r="FC292" s="521"/>
      <c r="FD292" s="521"/>
      <c r="FE292" s="521"/>
      <c r="FF292" s="521"/>
      <c r="FG292" s="521"/>
      <c r="FH292" s="567"/>
      <c r="FI292" s="567"/>
      <c r="FJ292" s="567"/>
      <c r="FK292" s="567"/>
      <c r="FL292" s="567"/>
      <c r="FM292" s="567"/>
      <c r="FN292" s="567"/>
      <c r="FO292" s="567"/>
    </row>
    <row r="293" spans="1:171" s="568" customFormat="1" ht="13.9" customHeight="1">
      <c r="A293" s="566"/>
      <c r="B293" s="566"/>
      <c r="C293" s="566"/>
      <c r="D293" s="569"/>
      <c r="E293" s="570"/>
      <c r="F293" s="571"/>
      <c r="G293" s="571"/>
      <c r="H293" s="571"/>
      <c r="I293" s="571"/>
      <c r="J293" s="571"/>
      <c r="K293" s="572"/>
      <c r="L293" s="569"/>
      <c r="M293" s="569"/>
      <c r="N293" s="569"/>
      <c r="O293" s="569"/>
      <c r="P293" s="566"/>
      <c r="Q293" s="566"/>
      <c r="R293" s="566"/>
      <c r="S293" s="566"/>
      <c r="T293" s="566"/>
      <c r="U293" s="566"/>
      <c r="V293" s="566"/>
      <c r="W293" s="566"/>
      <c r="X293" s="553"/>
      <c r="Y293" s="553"/>
      <c r="Z293" s="553"/>
      <c r="AA293" s="554"/>
      <c r="AB293" s="550"/>
      <c r="AC293" s="550"/>
      <c r="AD293" s="550"/>
      <c r="AE293" s="307"/>
      <c r="AF293" s="307"/>
      <c r="AG293" s="307"/>
      <c r="AH293" s="307"/>
      <c r="AI293" s="307"/>
      <c r="AJ293" s="307"/>
      <c r="AK293" s="307"/>
      <c r="AL293" s="307"/>
      <c r="AM293" s="307"/>
      <c r="AN293" s="307"/>
      <c r="AO293" s="307"/>
      <c r="AP293" s="307"/>
      <c r="AQ293" s="307"/>
      <c r="AR293" s="307"/>
      <c r="AS293" s="307"/>
      <c r="AT293" s="307"/>
      <c r="AU293" s="307"/>
      <c r="AV293" s="307"/>
      <c r="AW293" s="307"/>
      <c r="AX293" s="307"/>
      <c r="AY293" s="307"/>
      <c r="AZ293" s="307"/>
      <c r="BA293" s="307"/>
      <c r="BB293" s="307"/>
      <c r="BC293" s="307"/>
      <c r="BD293" s="307"/>
      <c r="BE293" s="307"/>
      <c r="BF293" s="307"/>
      <c r="BG293" s="307"/>
      <c r="BH293" s="307"/>
      <c r="BI293" s="307"/>
      <c r="BJ293" s="307"/>
      <c r="BK293" s="307"/>
      <c r="BL293" s="307"/>
      <c r="BM293" s="307"/>
      <c r="BN293" s="307"/>
      <c r="BO293" s="307"/>
      <c r="BP293" s="307"/>
      <c r="BQ293" s="307"/>
      <c r="BR293" s="307"/>
      <c r="BS293" s="307"/>
      <c r="BT293" s="307"/>
      <c r="BU293" s="307"/>
      <c r="BV293" s="307"/>
      <c r="BW293" s="307"/>
      <c r="BX293" s="307"/>
      <c r="BY293" s="307"/>
      <c r="BZ293" s="307"/>
      <c r="CA293" s="307"/>
      <c r="CB293" s="307"/>
      <c r="CC293" s="307"/>
      <c r="CD293" s="307"/>
      <c r="CE293" s="307"/>
      <c r="CF293" s="307"/>
      <c r="CG293" s="307"/>
      <c r="CH293" s="307"/>
      <c r="CI293" s="307"/>
      <c r="CJ293" s="307"/>
      <c r="CK293" s="307"/>
      <c r="CL293" s="307"/>
      <c r="CM293" s="307"/>
      <c r="CN293" s="307"/>
      <c r="CO293" s="307"/>
      <c r="CP293" s="307"/>
      <c r="CQ293" s="307"/>
      <c r="CR293" s="307"/>
      <c r="CS293" s="307"/>
      <c r="CT293" s="307"/>
      <c r="CU293" s="307"/>
      <c r="CV293" s="307"/>
      <c r="CW293" s="307"/>
      <c r="CX293" s="307"/>
      <c r="CY293" s="307"/>
      <c r="CZ293" s="307"/>
      <c r="DA293" s="307"/>
      <c r="DB293" s="280"/>
      <c r="DC293" s="280"/>
      <c r="DD293" s="280"/>
      <c r="DE293" s="280"/>
      <c r="DF293" s="280"/>
      <c r="DG293" s="280"/>
      <c r="DH293" s="280"/>
      <c r="DI293" s="280"/>
      <c r="DJ293" s="280"/>
      <c r="DK293" s="280"/>
      <c r="DL293" s="280"/>
      <c r="DM293" s="280"/>
      <c r="DN293" s="280"/>
      <c r="DO293" s="280"/>
      <c r="DP293" s="280"/>
      <c r="DQ293" s="280"/>
      <c r="DR293" s="280"/>
      <c r="DS293" s="280"/>
      <c r="DT293" s="280"/>
      <c r="DU293" s="280"/>
      <c r="DV293" s="280"/>
      <c r="DW293" s="280"/>
      <c r="DX293" s="280"/>
      <c r="DY293" s="280"/>
      <c r="DZ293" s="280"/>
      <c r="EA293" s="280"/>
      <c r="EB293" s="280"/>
      <c r="EC293" s="280"/>
      <c r="ED293" s="280"/>
      <c r="EE293" s="280"/>
      <c r="EF293" s="280"/>
      <c r="EG293" s="280"/>
      <c r="EH293" s="280"/>
      <c r="EI293" s="280"/>
      <c r="EJ293" s="280"/>
      <c r="EK293" s="280"/>
      <c r="EL293" s="280"/>
      <c r="EM293" s="280"/>
      <c r="EN293" s="280"/>
      <c r="EO293" s="280"/>
      <c r="EP293" s="521"/>
      <c r="EQ293" s="521"/>
      <c r="ER293" s="521"/>
      <c r="ES293" s="521"/>
      <c r="ET293" s="521"/>
      <c r="EU293" s="521"/>
      <c r="EV293" s="521"/>
      <c r="EW293" s="521"/>
      <c r="EX293" s="521"/>
      <c r="EY293" s="521"/>
      <c r="EZ293" s="521"/>
      <c r="FA293" s="521"/>
      <c r="FB293" s="521"/>
      <c r="FC293" s="521"/>
      <c r="FD293" s="521"/>
      <c r="FE293" s="521"/>
      <c r="FF293" s="521"/>
      <c r="FG293" s="521"/>
      <c r="FH293" s="567"/>
      <c r="FI293" s="567"/>
      <c r="FJ293" s="567"/>
      <c r="FK293" s="567"/>
      <c r="FL293" s="567"/>
      <c r="FM293" s="567"/>
      <c r="FN293" s="567"/>
      <c r="FO293" s="567"/>
    </row>
    <row r="294" spans="1:171" s="568" customFormat="1" ht="13.9" customHeight="1">
      <c r="A294" s="566"/>
      <c r="B294" s="566"/>
      <c r="C294" s="566"/>
      <c r="D294" s="569"/>
      <c r="E294" s="570"/>
      <c r="F294" s="571"/>
      <c r="G294" s="571"/>
      <c r="H294" s="571"/>
      <c r="I294" s="571"/>
      <c r="J294" s="571"/>
      <c r="K294" s="572"/>
      <c r="L294" s="569"/>
      <c r="M294" s="569"/>
      <c r="N294" s="569"/>
      <c r="O294" s="569"/>
      <c r="P294" s="566"/>
      <c r="Q294" s="566"/>
      <c r="R294" s="566"/>
      <c r="S294" s="566"/>
      <c r="T294" s="566"/>
      <c r="U294" s="566"/>
      <c r="V294" s="566"/>
      <c r="W294" s="566"/>
      <c r="X294" s="553"/>
      <c r="Y294" s="553"/>
      <c r="Z294" s="553"/>
      <c r="AA294" s="554"/>
      <c r="AB294" s="550"/>
      <c r="AC294" s="550"/>
      <c r="AD294" s="550"/>
      <c r="AE294" s="307"/>
      <c r="AF294" s="307"/>
      <c r="AG294" s="307"/>
      <c r="AH294" s="307"/>
      <c r="AI294" s="307"/>
      <c r="AJ294" s="307"/>
      <c r="AK294" s="307"/>
      <c r="AL294" s="307"/>
      <c r="AM294" s="307"/>
      <c r="AN294" s="307"/>
      <c r="AO294" s="307"/>
      <c r="AP294" s="307"/>
      <c r="AQ294" s="307"/>
      <c r="AR294" s="307"/>
      <c r="AS294" s="307"/>
      <c r="AT294" s="307"/>
      <c r="AU294" s="307"/>
      <c r="AV294" s="307"/>
      <c r="AW294" s="307"/>
      <c r="AX294" s="307"/>
      <c r="AY294" s="307"/>
      <c r="AZ294" s="307"/>
      <c r="BA294" s="307"/>
      <c r="BB294" s="307"/>
      <c r="BC294" s="307"/>
      <c r="BD294" s="307"/>
      <c r="BE294" s="307"/>
      <c r="BF294" s="307"/>
      <c r="BG294" s="307"/>
      <c r="BH294" s="307"/>
      <c r="BI294" s="307"/>
      <c r="BJ294" s="307"/>
      <c r="BK294" s="307"/>
      <c r="BL294" s="307"/>
      <c r="BM294" s="307"/>
      <c r="BN294" s="307"/>
      <c r="BO294" s="307"/>
      <c r="BP294" s="307"/>
      <c r="BQ294" s="307"/>
      <c r="BR294" s="307"/>
      <c r="BS294" s="307"/>
      <c r="BT294" s="307"/>
      <c r="BU294" s="307"/>
      <c r="BV294" s="307"/>
      <c r="BW294" s="307"/>
      <c r="BX294" s="307"/>
      <c r="BY294" s="307"/>
      <c r="BZ294" s="307"/>
      <c r="CA294" s="307"/>
      <c r="CB294" s="307"/>
      <c r="CC294" s="307"/>
      <c r="CD294" s="307"/>
      <c r="CE294" s="307"/>
      <c r="CF294" s="307"/>
      <c r="CG294" s="307"/>
      <c r="CH294" s="307"/>
      <c r="CI294" s="307"/>
      <c r="CJ294" s="307"/>
      <c r="CK294" s="307"/>
      <c r="CL294" s="307"/>
      <c r="CM294" s="307"/>
      <c r="CN294" s="307"/>
      <c r="CO294" s="307"/>
      <c r="CP294" s="307"/>
      <c r="CQ294" s="307"/>
      <c r="CR294" s="307"/>
      <c r="CS294" s="307"/>
      <c r="CT294" s="307"/>
      <c r="CU294" s="307"/>
      <c r="CV294" s="307"/>
      <c r="CW294" s="307"/>
      <c r="CX294" s="307"/>
      <c r="CY294" s="307"/>
      <c r="CZ294" s="307"/>
      <c r="DA294" s="307"/>
      <c r="DB294" s="280"/>
      <c r="DC294" s="280"/>
      <c r="DD294" s="280"/>
      <c r="DE294" s="280"/>
      <c r="DF294" s="280"/>
      <c r="DG294" s="280"/>
      <c r="DH294" s="280"/>
      <c r="DI294" s="280"/>
      <c r="DJ294" s="280"/>
      <c r="DK294" s="280"/>
      <c r="DL294" s="280"/>
      <c r="DM294" s="280"/>
      <c r="DN294" s="280"/>
      <c r="DO294" s="280"/>
      <c r="DP294" s="280"/>
      <c r="DQ294" s="280"/>
      <c r="DR294" s="280"/>
      <c r="DS294" s="280"/>
      <c r="DT294" s="280"/>
      <c r="DU294" s="280"/>
      <c r="DV294" s="280"/>
      <c r="DW294" s="280"/>
      <c r="DX294" s="280"/>
      <c r="DY294" s="280"/>
      <c r="DZ294" s="280"/>
      <c r="EA294" s="280"/>
      <c r="EB294" s="280"/>
      <c r="EC294" s="280"/>
      <c r="ED294" s="280"/>
      <c r="EE294" s="280"/>
      <c r="EF294" s="280"/>
      <c r="EG294" s="280"/>
      <c r="EH294" s="280"/>
      <c r="EI294" s="280"/>
      <c r="EJ294" s="280"/>
      <c r="EK294" s="280"/>
      <c r="EL294" s="280"/>
      <c r="EM294" s="280"/>
      <c r="EN294" s="280"/>
      <c r="EO294" s="280"/>
      <c r="EP294" s="521"/>
      <c r="EQ294" s="521"/>
      <c r="ER294" s="521"/>
      <c r="ES294" s="521"/>
      <c r="ET294" s="521"/>
      <c r="EU294" s="521"/>
      <c r="EV294" s="521"/>
      <c r="EW294" s="521"/>
      <c r="EX294" s="521"/>
      <c r="EY294" s="521"/>
      <c r="EZ294" s="521"/>
      <c r="FA294" s="521"/>
      <c r="FB294" s="521"/>
      <c r="FC294" s="521"/>
      <c r="FD294" s="521"/>
      <c r="FE294" s="521"/>
      <c r="FF294" s="521"/>
      <c r="FG294" s="521"/>
      <c r="FH294" s="567"/>
      <c r="FI294" s="567"/>
      <c r="FJ294" s="567"/>
      <c r="FK294" s="567"/>
      <c r="FL294" s="567"/>
      <c r="FM294" s="567"/>
      <c r="FN294" s="567"/>
      <c r="FO294" s="567"/>
    </row>
    <row r="295" spans="1:171" s="568" customFormat="1" ht="13.9" customHeight="1">
      <c r="A295" s="566"/>
      <c r="B295" s="566"/>
      <c r="C295" s="566"/>
      <c r="D295" s="569"/>
      <c r="E295" s="570"/>
      <c r="F295" s="571"/>
      <c r="G295" s="571"/>
      <c r="H295" s="571"/>
      <c r="I295" s="571"/>
      <c r="J295" s="571"/>
      <c r="K295" s="572"/>
      <c r="L295" s="569"/>
      <c r="M295" s="569"/>
      <c r="N295" s="569"/>
      <c r="O295" s="569"/>
      <c r="P295" s="566"/>
      <c r="Q295" s="566"/>
      <c r="R295" s="566"/>
      <c r="S295" s="566"/>
      <c r="T295" s="566"/>
      <c r="U295" s="566"/>
      <c r="V295" s="566"/>
      <c r="W295" s="566"/>
      <c r="X295" s="553"/>
      <c r="Y295" s="553"/>
      <c r="Z295" s="553"/>
      <c r="AA295" s="554"/>
      <c r="AB295" s="550"/>
      <c r="AC295" s="550"/>
      <c r="AD295" s="550"/>
      <c r="AE295" s="307"/>
      <c r="AF295" s="307"/>
      <c r="AG295" s="307"/>
      <c r="AH295" s="307"/>
      <c r="AI295" s="307"/>
      <c r="AJ295" s="307"/>
      <c r="AK295" s="307"/>
      <c r="AL295" s="307"/>
      <c r="AM295" s="307"/>
      <c r="AN295" s="307"/>
      <c r="AO295" s="307"/>
      <c r="AP295" s="307"/>
      <c r="AQ295" s="307"/>
      <c r="AR295" s="307"/>
      <c r="AS295" s="307"/>
      <c r="AT295" s="307"/>
      <c r="AU295" s="307"/>
      <c r="AV295" s="307"/>
      <c r="AW295" s="307"/>
      <c r="AX295" s="307"/>
      <c r="AY295" s="307"/>
      <c r="AZ295" s="307"/>
      <c r="BA295" s="307"/>
      <c r="BB295" s="307"/>
      <c r="BC295" s="307"/>
      <c r="BD295" s="307"/>
      <c r="BE295" s="307"/>
      <c r="BF295" s="307"/>
      <c r="BG295" s="307"/>
      <c r="BH295" s="307"/>
      <c r="BI295" s="307"/>
      <c r="BJ295" s="307"/>
      <c r="BK295" s="307"/>
      <c r="BL295" s="307"/>
      <c r="BM295" s="307"/>
      <c r="BN295" s="307"/>
      <c r="BO295" s="307"/>
      <c r="BP295" s="307"/>
      <c r="BQ295" s="307"/>
      <c r="BR295" s="307"/>
      <c r="BS295" s="307"/>
      <c r="BT295" s="307"/>
      <c r="BU295" s="307"/>
      <c r="BV295" s="307"/>
      <c r="BW295" s="307"/>
      <c r="BX295" s="307"/>
      <c r="BY295" s="307"/>
      <c r="BZ295" s="307"/>
      <c r="CA295" s="307"/>
      <c r="CB295" s="307"/>
      <c r="CC295" s="307"/>
      <c r="CD295" s="307"/>
      <c r="CE295" s="307"/>
      <c r="CF295" s="307"/>
      <c r="CG295" s="307"/>
      <c r="CH295" s="307"/>
      <c r="CI295" s="307"/>
      <c r="CJ295" s="307"/>
      <c r="CK295" s="307"/>
      <c r="CL295" s="307"/>
      <c r="CM295" s="307"/>
      <c r="CN295" s="307"/>
      <c r="CO295" s="307"/>
      <c r="CP295" s="307"/>
      <c r="CQ295" s="307"/>
      <c r="CR295" s="307"/>
      <c r="CS295" s="307"/>
      <c r="CT295" s="307"/>
      <c r="CU295" s="307"/>
      <c r="CV295" s="307"/>
      <c r="CW295" s="307"/>
      <c r="CX295" s="307"/>
      <c r="CY295" s="307"/>
      <c r="CZ295" s="307"/>
      <c r="DA295" s="307"/>
      <c r="DB295" s="280"/>
      <c r="DC295" s="280"/>
      <c r="DD295" s="280"/>
      <c r="DE295" s="280"/>
      <c r="DF295" s="280"/>
      <c r="DG295" s="280"/>
      <c r="DH295" s="280"/>
      <c r="DI295" s="280"/>
      <c r="DJ295" s="280"/>
      <c r="DK295" s="280"/>
      <c r="DL295" s="280"/>
      <c r="DM295" s="280"/>
      <c r="DN295" s="280"/>
      <c r="DO295" s="280"/>
      <c r="DP295" s="280"/>
      <c r="DQ295" s="280"/>
      <c r="DR295" s="280"/>
      <c r="DS295" s="280"/>
      <c r="DT295" s="280"/>
      <c r="DU295" s="280"/>
      <c r="DV295" s="280"/>
      <c r="DW295" s="280"/>
      <c r="DX295" s="280"/>
      <c r="DY295" s="280"/>
      <c r="DZ295" s="280"/>
      <c r="EA295" s="280"/>
      <c r="EB295" s="280"/>
      <c r="EC295" s="280"/>
      <c r="ED295" s="280"/>
      <c r="EE295" s="280"/>
      <c r="EF295" s="280"/>
      <c r="EG295" s="280"/>
      <c r="EH295" s="280"/>
      <c r="EI295" s="280"/>
      <c r="EJ295" s="280"/>
      <c r="EK295" s="280"/>
      <c r="EL295" s="280"/>
      <c r="EM295" s="280"/>
      <c r="EN295" s="280"/>
      <c r="EO295" s="280"/>
      <c r="EP295" s="521"/>
      <c r="EQ295" s="521"/>
      <c r="ER295" s="521"/>
      <c r="ES295" s="521"/>
      <c r="ET295" s="521"/>
      <c r="EU295" s="521"/>
      <c r="EV295" s="521"/>
      <c r="EW295" s="521"/>
      <c r="EX295" s="521"/>
      <c r="EY295" s="521"/>
      <c r="EZ295" s="521"/>
      <c r="FA295" s="521"/>
      <c r="FB295" s="521"/>
      <c r="FC295" s="521"/>
      <c r="FD295" s="521"/>
      <c r="FE295" s="521"/>
      <c r="FF295" s="521"/>
      <c r="FG295" s="521"/>
      <c r="FH295" s="567"/>
      <c r="FI295" s="567"/>
      <c r="FJ295" s="567"/>
      <c r="FK295" s="567"/>
      <c r="FL295" s="567"/>
      <c r="FM295" s="567"/>
      <c r="FN295" s="567"/>
      <c r="FO295" s="567"/>
    </row>
    <row r="296" spans="1:171" s="568" customFormat="1" ht="13.9" customHeight="1">
      <c r="A296" s="566"/>
      <c r="B296" s="566"/>
      <c r="C296" s="566"/>
      <c r="D296" s="569"/>
      <c r="E296" s="570"/>
      <c r="F296" s="571"/>
      <c r="G296" s="571"/>
      <c r="H296" s="571"/>
      <c r="I296" s="571"/>
      <c r="J296" s="571"/>
      <c r="K296" s="572"/>
      <c r="L296" s="569"/>
      <c r="M296" s="569"/>
      <c r="N296" s="569"/>
      <c r="O296" s="569"/>
      <c r="P296" s="566"/>
      <c r="Q296" s="566"/>
      <c r="R296" s="566"/>
      <c r="S296" s="566"/>
      <c r="T296" s="566"/>
      <c r="U296" s="566"/>
      <c r="V296" s="566"/>
      <c r="W296" s="566"/>
      <c r="X296" s="553"/>
      <c r="Y296" s="553"/>
      <c r="Z296" s="553"/>
      <c r="AA296" s="554"/>
      <c r="AB296" s="550"/>
      <c r="AC296" s="550"/>
      <c r="AD296" s="550"/>
      <c r="AE296" s="307"/>
      <c r="AF296" s="307"/>
      <c r="AG296" s="307"/>
      <c r="AH296" s="307"/>
      <c r="AI296" s="307"/>
      <c r="AJ296" s="307"/>
      <c r="AK296" s="307"/>
      <c r="AL296" s="307"/>
      <c r="AM296" s="307"/>
      <c r="AN296" s="307"/>
      <c r="AO296" s="307"/>
      <c r="AP296" s="307"/>
      <c r="AQ296" s="307"/>
      <c r="AR296" s="307"/>
      <c r="AS296" s="307"/>
      <c r="AT296" s="307"/>
      <c r="AU296" s="307"/>
      <c r="AV296" s="307"/>
      <c r="AW296" s="307"/>
      <c r="AX296" s="307"/>
      <c r="AY296" s="307"/>
      <c r="AZ296" s="307"/>
      <c r="BA296" s="307"/>
      <c r="BB296" s="307"/>
      <c r="BC296" s="307"/>
      <c r="BD296" s="307"/>
      <c r="BE296" s="307"/>
      <c r="BF296" s="307"/>
      <c r="BG296" s="307"/>
      <c r="BH296" s="307"/>
      <c r="BI296" s="307"/>
      <c r="BJ296" s="307"/>
      <c r="BK296" s="307"/>
      <c r="BL296" s="307"/>
      <c r="BM296" s="307"/>
      <c r="BN296" s="307"/>
      <c r="BO296" s="307"/>
      <c r="BP296" s="307"/>
      <c r="BQ296" s="307"/>
      <c r="BR296" s="307"/>
      <c r="BS296" s="307"/>
      <c r="BT296" s="307"/>
      <c r="BU296" s="307"/>
      <c r="BV296" s="307"/>
      <c r="BW296" s="307"/>
      <c r="BX296" s="307"/>
      <c r="BY296" s="307"/>
      <c r="BZ296" s="307"/>
      <c r="CA296" s="307"/>
      <c r="CB296" s="307"/>
      <c r="CC296" s="307"/>
      <c r="CD296" s="307"/>
      <c r="CE296" s="307"/>
      <c r="CF296" s="307"/>
      <c r="CG296" s="307"/>
      <c r="CH296" s="307"/>
      <c r="CI296" s="307"/>
      <c r="CJ296" s="307"/>
      <c r="CK296" s="307"/>
      <c r="CL296" s="307"/>
      <c r="CM296" s="307"/>
      <c r="CN296" s="307"/>
      <c r="CO296" s="307"/>
      <c r="CP296" s="307"/>
      <c r="CQ296" s="307"/>
      <c r="CR296" s="307"/>
      <c r="CS296" s="307"/>
      <c r="CT296" s="307"/>
      <c r="CU296" s="307"/>
      <c r="CV296" s="307"/>
      <c r="CW296" s="307"/>
      <c r="CX296" s="307"/>
      <c r="CY296" s="307"/>
      <c r="CZ296" s="307"/>
      <c r="DA296" s="307"/>
      <c r="DB296" s="280"/>
      <c r="DC296" s="280"/>
      <c r="DD296" s="280"/>
      <c r="DE296" s="280"/>
      <c r="DF296" s="280"/>
      <c r="DG296" s="280"/>
      <c r="DH296" s="280"/>
      <c r="DI296" s="280"/>
      <c r="DJ296" s="280"/>
      <c r="DK296" s="280"/>
      <c r="DL296" s="280"/>
      <c r="DM296" s="280"/>
      <c r="DN296" s="280"/>
      <c r="DO296" s="280"/>
      <c r="DP296" s="280"/>
      <c r="DQ296" s="280"/>
      <c r="DR296" s="280"/>
      <c r="DS296" s="280"/>
      <c r="DT296" s="280"/>
      <c r="DU296" s="280"/>
      <c r="DV296" s="280"/>
      <c r="DW296" s="280"/>
      <c r="DX296" s="280"/>
      <c r="DY296" s="280"/>
      <c r="DZ296" s="280"/>
      <c r="EA296" s="280"/>
      <c r="EB296" s="280"/>
      <c r="EC296" s="280"/>
      <c r="ED296" s="280"/>
      <c r="EE296" s="280"/>
      <c r="EF296" s="280"/>
      <c r="EG296" s="280"/>
      <c r="EH296" s="280"/>
      <c r="EI296" s="280"/>
      <c r="EJ296" s="280"/>
      <c r="EK296" s="280"/>
      <c r="EL296" s="280"/>
      <c r="EM296" s="280"/>
      <c r="EN296" s="280"/>
      <c r="EO296" s="280"/>
      <c r="EP296" s="521"/>
      <c r="EQ296" s="521"/>
      <c r="ER296" s="521"/>
      <c r="ES296" s="521"/>
      <c r="ET296" s="521"/>
      <c r="EU296" s="521"/>
      <c r="EV296" s="521"/>
      <c r="EW296" s="521"/>
      <c r="EX296" s="521"/>
      <c r="EY296" s="521"/>
      <c r="EZ296" s="521"/>
      <c r="FA296" s="521"/>
      <c r="FB296" s="521"/>
      <c r="FC296" s="521"/>
      <c r="FD296" s="521"/>
      <c r="FE296" s="521"/>
      <c r="FF296" s="521"/>
      <c r="FG296" s="521"/>
      <c r="FH296" s="567"/>
      <c r="FI296" s="567"/>
      <c r="FJ296" s="567"/>
      <c r="FK296" s="567"/>
      <c r="FL296" s="567"/>
      <c r="FM296" s="567"/>
      <c r="FN296" s="567"/>
      <c r="FO296" s="567"/>
    </row>
    <row r="297" spans="1:171" s="568" customFormat="1" ht="13.9" customHeight="1">
      <c r="A297" s="566"/>
      <c r="B297" s="566"/>
      <c r="C297" s="566"/>
      <c r="D297" s="569"/>
      <c r="E297" s="570"/>
      <c r="F297" s="571"/>
      <c r="G297" s="571"/>
      <c r="H297" s="571"/>
      <c r="I297" s="571"/>
      <c r="J297" s="571"/>
      <c r="K297" s="572"/>
      <c r="L297" s="569"/>
      <c r="M297" s="569"/>
      <c r="N297" s="569"/>
      <c r="O297" s="569"/>
      <c r="P297" s="566"/>
      <c r="Q297" s="566"/>
      <c r="R297" s="566"/>
      <c r="S297" s="566"/>
      <c r="T297" s="566"/>
      <c r="U297" s="566"/>
      <c r="V297" s="566"/>
      <c r="W297" s="566"/>
      <c r="X297" s="553"/>
      <c r="Y297" s="553"/>
      <c r="Z297" s="553"/>
      <c r="AA297" s="554"/>
      <c r="AB297" s="550"/>
      <c r="AC297" s="550"/>
      <c r="AD297" s="550"/>
      <c r="AE297" s="307"/>
      <c r="AF297" s="307"/>
      <c r="AG297" s="307"/>
      <c r="AH297" s="307"/>
      <c r="AI297" s="307"/>
      <c r="AJ297" s="307"/>
      <c r="AK297" s="307"/>
      <c r="AL297" s="307"/>
      <c r="AM297" s="307"/>
      <c r="AN297" s="307"/>
      <c r="AO297" s="307"/>
      <c r="AP297" s="307"/>
      <c r="AQ297" s="307"/>
      <c r="AR297" s="307"/>
      <c r="AS297" s="307"/>
      <c r="AT297" s="307"/>
      <c r="AU297" s="307"/>
      <c r="AV297" s="307"/>
      <c r="AW297" s="307"/>
      <c r="AX297" s="307"/>
      <c r="AY297" s="307"/>
      <c r="AZ297" s="307"/>
      <c r="BA297" s="307"/>
      <c r="BB297" s="307"/>
      <c r="BC297" s="307"/>
      <c r="BD297" s="307"/>
      <c r="BE297" s="307"/>
      <c r="BF297" s="307"/>
      <c r="BG297" s="307"/>
      <c r="BH297" s="307"/>
      <c r="BI297" s="307"/>
      <c r="BJ297" s="307"/>
      <c r="BK297" s="307"/>
      <c r="BL297" s="307"/>
      <c r="BM297" s="307"/>
      <c r="BN297" s="307"/>
      <c r="BO297" s="307"/>
      <c r="BP297" s="307"/>
      <c r="BQ297" s="307"/>
      <c r="BR297" s="307"/>
      <c r="BS297" s="307"/>
      <c r="BT297" s="307"/>
      <c r="BU297" s="307"/>
      <c r="BV297" s="307"/>
      <c r="BW297" s="307"/>
      <c r="BX297" s="307"/>
      <c r="BY297" s="307"/>
      <c r="BZ297" s="307"/>
      <c r="CA297" s="307"/>
      <c r="CB297" s="307"/>
      <c r="CC297" s="307"/>
      <c r="CD297" s="307"/>
      <c r="CE297" s="307"/>
      <c r="CF297" s="307"/>
      <c r="CG297" s="307"/>
      <c r="CH297" s="307"/>
      <c r="CI297" s="307"/>
      <c r="CJ297" s="307"/>
      <c r="CK297" s="307"/>
      <c r="CL297" s="307"/>
      <c r="CM297" s="307"/>
      <c r="CN297" s="307"/>
      <c r="CO297" s="307"/>
      <c r="CP297" s="307"/>
      <c r="CQ297" s="307"/>
      <c r="CR297" s="307"/>
      <c r="CS297" s="307"/>
      <c r="CT297" s="307"/>
      <c r="CU297" s="307"/>
      <c r="CV297" s="307"/>
      <c r="CW297" s="307"/>
      <c r="CX297" s="307"/>
      <c r="CY297" s="307"/>
      <c r="CZ297" s="307"/>
      <c r="DA297" s="307"/>
      <c r="DB297" s="280"/>
      <c r="DC297" s="280"/>
      <c r="DD297" s="280"/>
      <c r="DE297" s="280"/>
      <c r="DF297" s="280"/>
      <c r="DG297" s="280"/>
      <c r="DH297" s="280"/>
      <c r="DI297" s="280"/>
      <c r="DJ297" s="280"/>
      <c r="DK297" s="280"/>
      <c r="DL297" s="280"/>
      <c r="DM297" s="280"/>
      <c r="DN297" s="280"/>
      <c r="DO297" s="280"/>
      <c r="DP297" s="280"/>
      <c r="DQ297" s="280"/>
      <c r="DR297" s="280"/>
      <c r="DS297" s="280"/>
      <c r="DT297" s="280"/>
      <c r="DU297" s="280"/>
      <c r="DV297" s="280"/>
      <c r="DW297" s="280"/>
      <c r="DX297" s="280"/>
      <c r="DY297" s="280"/>
      <c r="DZ297" s="280"/>
      <c r="EA297" s="280"/>
      <c r="EB297" s="280"/>
      <c r="EC297" s="280"/>
      <c r="ED297" s="280"/>
      <c r="EE297" s="280"/>
      <c r="EF297" s="280"/>
      <c r="EG297" s="280"/>
      <c r="EH297" s="280"/>
      <c r="EI297" s="280"/>
      <c r="EJ297" s="280"/>
      <c r="EK297" s="280"/>
      <c r="EL297" s="280"/>
      <c r="EM297" s="280"/>
      <c r="EN297" s="280"/>
      <c r="EO297" s="280"/>
      <c r="EP297" s="521"/>
      <c r="EQ297" s="521"/>
      <c r="ER297" s="521"/>
      <c r="ES297" s="521"/>
      <c r="ET297" s="521"/>
      <c r="EU297" s="521"/>
      <c r="EV297" s="521"/>
      <c r="EW297" s="521"/>
      <c r="EX297" s="521"/>
      <c r="EY297" s="521"/>
      <c r="EZ297" s="521"/>
      <c r="FA297" s="521"/>
      <c r="FB297" s="521"/>
      <c r="FC297" s="521"/>
      <c r="FD297" s="521"/>
      <c r="FE297" s="521"/>
      <c r="FF297" s="521"/>
      <c r="FG297" s="521"/>
      <c r="FH297" s="567"/>
      <c r="FI297" s="567"/>
      <c r="FJ297" s="567"/>
      <c r="FK297" s="567"/>
      <c r="FL297" s="567"/>
      <c r="FM297" s="567"/>
      <c r="FN297" s="567"/>
      <c r="FO297" s="567"/>
    </row>
    <row r="298" spans="1:171" s="568" customFormat="1" ht="13.9" customHeight="1">
      <c r="A298" s="566"/>
      <c r="B298" s="566"/>
      <c r="C298" s="566"/>
      <c r="D298" s="569"/>
      <c r="E298" s="570"/>
      <c r="F298" s="571"/>
      <c r="G298" s="571"/>
      <c r="H298" s="571"/>
      <c r="I298" s="571"/>
      <c r="J298" s="571"/>
      <c r="K298" s="572"/>
      <c r="L298" s="569"/>
      <c r="M298" s="569"/>
      <c r="N298" s="569"/>
      <c r="O298" s="569"/>
      <c r="P298" s="566"/>
      <c r="Q298" s="566"/>
      <c r="R298" s="566"/>
      <c r="S298" s="566"/>
      <c r="T298" s="566"/>
      <c r="U298" s="566"/>
      <c r="V298" s="566"/>
      <c r="W298" s="566"/>
      <c r="X298" s="553"/>
      <c r="Y298" s="553"/>
      <c r="Z298" s="553"/>
      <c r="AA298" s="554"/>
      <c r="AB298" s="550"/>
      <c r="AC298" s="550"/>
      <c r="AD298" s="550"/>
      <c r="AE298" s="307"/>
      <c r="AF298" s="307"/>
      <c r="AG298" s="307"/>
      <c r="AH298" s="307"/>
      <c r="AI298" s="307"/>
      <c r="AJ298" s="307"/>
      <c r="AK298" s="307"/>
      <c r="AL298" s="307"/>
      <c r="AM298" s="307"/>
      <c r="AN298" s="307"/>
      <c r="AO298" s="307"/>
      <c r="AP298" s="307"/>
      <c r="AQ298" s="307"/>
      <c r="AR298" s="307"/>
      <c r="AS298" s="307"/>
      <c r="AT298" s="307"/>
      <c r="AU298" s="307"/>
      <c r="AV298" s="307"/>
      <c r="AW298" s="307"/>
      <c r="AX298" s="307"/>
      <c r="AY298" s="307"/>
      <c r="AZ298" s="307"/>
      <c r="BA298" s="307"/>
      <c r="BB298" s="307"/>
      <c r="BC298" s="307"/>
      <c r="BD298" s="307"/>
      <c r="BE298" s="307"/>
      <c r="BF298" s="307"/>
      <c r="BG298" s="307"/>
      <c r="BH298" s="307"/>
      <c r="BI298" s="307"/>
      <c r="BJ298" s="307"/>
      <c r="BK298" s="307"/>
      <c r="BL298" s="307"/>
      <c r="BM298" s="307"/>
      <c r="BN298" s="307"/>
      <c r="BO298" s="307"/>
      <c r="BP298" s="307"/>
      <c r="BQ298" s="307"/>
      <c r="BR298" s="307"/>
      <c r="BS298" s="307"/>
      <c r="BT298" s="307"/>
      <c r="BU298" s="307"/>
      <c r="BV298" s="307"/>
      <c r="BW298" s="307"/>
      <c r="BX298" s="307"/>
      <c r="BY298" s="307"/>
      <c r="BZ298" s="307"/>
      <c r="CA298" s="307"/>
      <c r="CB298" s="307"/>
      <c r="CC298" s="307"/>
      <c r="CD298" s="307"/>
      <c r="CE298" s="307"/>
      <c r="CF298" s="307"/>
      <c r="CG298" s="307"/>
      <c r="CH298" s="307"/>
      <c r="CI298" s="307"/>
      <c r="CJ298" s="307"/>
      <c r="CK298" s="307"/>
      <c r="CL298" s="307"/>
      <c r="CM298" s="307"/>
      <c r="CN298" s="307"/>
      <c r="CO298" s="307"/>
      <c r="CP298" s="307"/>
      <c r="CQ298" s="307"/>
      <c r="CR298" s="307"/>
      <c r="CS298" s="307"/>
      <c r="CT298" s="307"/>
      <c r="CU298" s="307"/>
      <c r="CV298" s="307"/>
      <c r="CW298" s="307"/>
      <c r="CX298" s="307"/>
      <c r="CY298" s="307"/>
      <c r="CZ298" s="307"/>
      <c r="DA298" s="307"/>
      <c r="DB298" s="280"/>
      <c r="DC298" s="280"/>
      <c r="DD298" s="280"/>
      <c r="DE298" s="280"/>
      <c r="DF298" s="280"/>
      <c r="DG298" s="280"/>
      <c r="DH298" s="280"/>
      <c r="DI298" s="280"/>
      <c r="DJ298" s="280"/>
      <c r="DK298" s="280"/>
      <c r="DL298" s="280"/>
      <c r="DM298" s="280"/>
      <c r="DN298" s="280"/>
      <c r="DO298" s="280"/>
      <c r="DP298" s="280"/>
      <c r="DQ298" s="280"/>
      <c r="DR298" s="280"/>
      <c r="DS298" s="280"/>
      <c r="DT298" s="280"/>
      <c r="DU298" s="280"/>
      <c r="DV298" s="280"/>
      <c r="DW298" s="280"/>
      <c r="DX298" s="280"/>
      <c r="DY298" s="280"/>
      <c r="DZ298" s="280"/>
      <c r="EA298" s="280"/>
      <c r="EB298" s="280"/>
      <c r="EC298" s="280"/>
      <c r="ED298" s="280"/>
      <c r="EE298" s="280"/>
      <c r="EF298" s="280"/>
      <c r="EG298" s="280"/>
      <c r="EH298" s="280"/>
      <c r="EI298" s="280"/>
      <c r="EJ298" s="280"/>
      <c r="EK298" s="280"/>
      <c r="EL298" s="280"/>
      <c r="EM298" s="280"/>
      <c r="EN298" s="280"/>
      <c r="EO298" s="280"/>
      <c r="EP298" s="521"/>
      <c r="EQ298" s="521"/>
      <c r="ER298" s="521"/>
      <c r="ES298" s="521"/>
      <c r="ET298" s="521"/>
      <c r="EU298" s="521"/>
      <c r="EV298" s="521"/>
      <c r="EW298" s="521"/>
      <c r="EX298" s="521"/>
      <c r="EY298" s="521"/>
      <c r="EZ298" s="521"/>
      <c r="FA298" s="521"/>
      <c r="FB298" s="521"/>
      <c r="FC298" s="521"/>
      <c r="FD298" s="521"/>
      <c r="FE298" s="521"/>
      <c r="FF298" s="521"/>
      <c r="FG298" s="521"/>
      <c r="FH298" s="567"/>
      <c r="FI298" s="567"/>
      <c r="FJ298" s="567"/>
      <c r="FK298" s="567"/>
      <c r="FL298" s="567"/>
      <c r="FM298" s="567"/>
      <c r="FN298" s="567"/>
      <c r="FO298" s="567"/>
    </row>
    <row r="299" spans="1:171" s="568" customFormat="1" ht="13.9" customHeight="1">
      <c r="A299" s="566"/>
      <c r="B299" s="566"/>
      <c r="C299" s="566"/>
      <c r="D299" s="569"/>
      <c r="E299" s="570"/>
      <c r="F299" s="571"/>
      <c r="G299" s="571"/>
      <c r="H299" s="571"/>
      <c r="I299" s="571"/>
      <c r="J299" s="571"/>
      <c r="K299" s="572"/>
      <c r="L299" s="569"/>
      <c r="M299" s="569"/>
      <c r="N299" s="569"/>
      <c r="O299" s="569"/>
      <c r="P299" s="566"/>
      <c r="Q299" s="566"/>
      <c r="R299" s="566"/>
      <c r="S299" s="566"/>
      <c r="T299" s="566"/>
      <c r="U299" s="566"/>
      <c r="V299" s="566"/>
      <c r="W299" s="566"/>
      <c r="X299" s="553"/>
      <c r="Y299" s="553"/>
      <c r="Z299" s="553"/>
      <c r="AA299" s="554"/>
      <c r="AB299" s="550"/>
      <c r="AC299" s="550"/>
      <c r="AD299" s="550"/>
      <c r="AE299" s="307"/>
      <c r="AF299" s="307"/>
      <c r="AG299" s="307"/>
      <c r="AH299" s="307"/>
      <c r="AI299" s="307"/>
      <c r="AJ299" s="307"/>
      <c r="AK299" s="307"/>
      <c r="AL299" s="307"/>
      <c r="AM299" s="307"/>
      <c r="AN299" s="307"/>
      <c r="AO299" s="307"/>
      <c r="AP299" s="307"/>
      <c r="AQ299" s="307"/>
      <c r="AR299" s="307"/>
      <c r="AS299" s="307"/>
      <c r="AT299" s="307"/>
      <c r="AU299" s="307"/>
      <c r="AV299" s="307"/>
      <c r="AW299" s="307"/>
      <c r="AX299" s="307"/>
      <c r="AY299" s="307"/>
      <c r="AZ299" s="307"/>
      <c r="BA299" s="307"/>
      <c r="BB299" s="307"/>
      <c r="BC299" s="307"/>
      <c r="BD299" s="307"/>
      <c r="BE299" s="307"/>
      <c r="BF299" s="307"/>
      <c r="BG299" s="307"/>
      <c r="BH299" s="307"/>
      <c r="BI299" s="307"/>
      <c r="BJ299" s="307"/>
      <c r="BK299" s="307"/>
      <c r="BL299" s="307"/>
      <c r="BM299" s="307"/>
      <c r="BN299" s="307"/>
      <c r="BO299" s="307"/>
      <c r="BP299" s="307"/>
      <c r="BQ299" s="307"/>
      <c r="BR299" s="307"/>
      <c r="BS299" s="307"/>
      <c r="BT299" s="307"/>
      <c r="BU299" s="307"/>
      <c r="BV299" s="307"/>
      <c r="BW299" s="307"/>
      <c r="BX299" s="307"/>
      <c r="BY299" s="307"/>
      <c r="BZ299" s="307"/>
      <c r="CA299" s="307"/>
      <c r="CB299" s="307"/>
      <c r="CC299" s="307"/>
      <c r="CD299" s="307"/>
      <c r="CE299" s="307"/>
      <c r="CF299" s="307"/>
      <c r="CG299" s="307"/>
      <c r="CH299" s="307"/>
      <c r="CI299" s="307"/>
      <c r="CJ299" s="307"/>
      <c r="CK299" s="307"/>
      <c r="CL299" s="307"/>
      <c r="CM299" s="307"/>
      <c r="CN299" s="307"/>
      <c r="CO299" s="307"/>
      <c r="CP299" s="307"/>
      <c r="CQ299" s="307"/>
      <c r="CR299" s="307"/>
      <c r="CS299" s="307"/>
      <c r="CT299" s="307"/>
      <c r="CU299" s="307"/>
      <c r="CV299" s="307"/>
      <c r="CW299" s="307"/>
      <c r="CX299" s="307"/>
      <c r="CY299" s="307"/>
      <c r="CZ299" s="307"/>
      <c r="DA299" s="307"/>
      <c r="DB299" s="280"/>
      <c r="DC299" s="280"/>
      <c r="DD299" s="280"/>
      <c r="DE299" s="280"/>
      <c r="DF299" s="280"/>
      <c r="DG299" s="280"/>
      <c r="DH299" s="280"/>
      <c r="DI299" s="280"/>
      <c r="DJ299" s="280"/>
      <c r="DK299" s="280"/>
      <c r="DL299" s="280"/>
      <c r="DM299" s="280"/>
      <c r="DN299" s="280"/>
      <c r="DO299" s="280"/>
      <c r="DP299" s="280"/>
      <c r="DQ299" s="280"/>
      <c r="DR299" s="280"/>
      <c r="DS299" s="280"/>
      <c r="DT299" s="280"/>
      <c r="DU299" s="280"/>
      <c r="DV299" s="280"/>
      <c r="DW299" s="280"/>
      <c r="DX299" s="280"/>
      <c r="DY299" s="280"/>
      <c r="DZ299" s="280"/>
      <c r="EA299" s="280"/>
      <c r="EB299" s="280"/>
      <c r="EC299" s="280"/>
      <c r="ED299" s="280"/>
      <c r="EE299" s="280"/>
      <c r="EF299" s="280"/>
      <c r="EG299" s="280"/>
      <c r="EH299" s="280"/>
      <c r="EI299" s="280"/>
      <c r="EJ299" s="280"/>
      <c r="EK299" s="280"/>
      <c r="EL299" s="280"/>
      <c r="EM299" s="280"/>
      <c r="EN299" s="280"/>
      <c r="EO299" s="280"/>
      <c r="EP299" s="521"/>
      <c r="EQ299" s="521"/>
      <c r="ER299" s="521"/>
      <c r="ES299" s="521"/>
      <c r="ET299" s="521"/>
      <c r="EU299" s="521"/>
      <c r="EV299" s="521"/>
      <c r="EW299" s="521"/>
      <c r="EX299" s="521"/>
      <c r="EY299" s="521"/>
      <c r="EZ299" s="521"/>
      <c r="FA299" s="521"/>
      <c r="FB299" s="521"/>
      <c r="FC299" s="521"/>
      <c r="FD299" s="521"/>
      <c r="FE299" s="521"/>
      <c r="FF299" s="521"/>
      <c r="FG299" s="521"/>
      <c r="FH299" s="567"/>
      <c r="FI299" s="567"/>
      <c r="FJ299" s="567"/>
      <c r="FK299" s="567"/>
      <c r="FL299" s="567"/>
      <c r="FM299" s="567"/>
      <c r="FN299" s="567"/>
      <c r="FO299" s="567"/>
    </row>
    <row r="300" spans="1:171" s="568" customFormat="1" ht="13.9" customHeight="1">
      <c r="A300" s="566"/>
      <c r="B300" s="566"/>
      <c r="C300" s="566"/>
      <c r="D300" s="569"/>
      <c r="E300" s="570"/>
      <c r="F300" s="571"/>
      <c r="G300" s="571"/>
      <c r="H300" s="571"/>
      <c r="I300" s="571"/>
      <c r="J300" s="571"/>
      <c r="K300" s="572"/>
      <c r="L300" s="569"/>
      <c r="M300" s="569"/>
      <c r="N300" s="569"/>
      <c r="O300" s="569"/>
      <c r="P300" s="566"/>
      <c r="Q300" s="566"/>
      <c r="R300" s="566"/>
      <c r="S300" s="566"/>
      <c r="T300" s="566"/>
      <c r="U300" s="566"/>
      <c r="V300" s="566"/>
      <c r="W300" s="566"/>
      <c r="X300" s="553"/>
      <c r="Y300" s="553"/>
      <c r="Z300" s="553"/>
      <c r="AA300" s="554"/>
      <c r="AB300" s="550"/>
      <c r="AC300" s="550"/>
      <c r="AD300" s="550"/>
      <c r="AE300" s="307"/>
      <c r="AF300" s="307"/>
      <c r="AG300" s="307"/>
      <c r="AH300" s="307"/>
      <c r="AI300" s="307"/>
      <c r="AJ300" s="307"/>
      <c r="AK300" s="307"/>
      <c r="AL300" s="307"/>
      <c r="AM300" s="307"/>
      <c r="AN300" s="307"/>
      <c r="AO300" s="307"/>
      <c r="AP300" s="307"/>
      <c r="AQ300" s="307"/>
      <c r="AR300" s="307"/>
      <c r="AS300" s="307"/>
      <c r="AT300" s="307"/>
      <c r="AU300" s="307"/>
      <c r="AV300" s="307"/>
      <c r="AW300" s="307"/>
      <c r="AX300" s="307"/>
      <c r="AY300" s="307"/>
      <c r="AZ300" s="307"/>
      <c r="BA300" s="307"/>
      <c r="BB300" s="307"/>
      <c r="BC300" s="307"/>
      <c r="BD300" s="307"/>
      <c r="BE300" s="307"/>
      <c r="BF300" s="307"/>
      <c r="BG300" s="307"/>
      <c r="BH300" s="307"/>
      <c r="BI300" s="307"/>
      <c r="BJ300" s="307"/>
      <c r="BK300" s="307"/>
      <c r="BL300" s="307"/>
      <c r="BM300" s="307"/>
      <c r="BN300" s="307"/>
      <c r="BO300" s="307"/>
      <c r="BP300" s="307"/>
      <c r="BQ300" s="307"/>
      <c r="BR300" s="307"/>
      <c r="BS300" s="307"/>
      <c r="BT300" s="307"/>
      <c r="BU300" s="307"/>
      <c r="BV300" s="307"/>
      <c r="BW300" s="307"/>
      <c r="BX300" s="307"/>
      <c r="BY300" s="307"/>
      <c r="BZ300" s="307"/>
      <c r="CA300" s="307"/>
      <c r="CB300" s="307"/>
      <c r="CC300" s="307"/>
      <c r="CD300" s="307"/>
      <c r="CE300" s="307"/>
      <c r="CF300" s="307"/>
      <c r="CG300" s="307"/>
      <c r="CH300" s="307"/>
      <c r="CI300" s="307"/>
      <c r="CJ300" s="307"/>
      <c r="CK300" s="307"/>
      <c r="CL300" s="307"/>
      <c r="CM300" s="307"/>
      <c r="CN300" s="307"/>
      <c r="CO300" s="307"/>
      <c r="CP300" s="307"/>
      <c r="CQ300" s="307"/>
      <c r="CR300" s="307"/>
      <c r="CS300" s="307"/>
      <c r="CT300" s="307"/>
      <c r="CU300" s="307"/>
      <c r="CV300" s="307"/>
      <c r="CW300" s="307"/>
      <c r="CX300" s="307"/>
      <c r="CY300" s="307"/>
      <c r="CZ300" s="307"/>
      <c r="DA300" s="307"/>
      <c r="DB300" s="280"/>
      <c r="DC300" s="280"/>
      <c r="DD300" s="280"/>
      <c r="DE300" s="280"/>
      <c r="DF300" s="280"/>
      <c r="DG300" s="280"/>
      <c r="DH300" s="280"/>
      <c r="DI300" s="280"/>
      <c r="DJ300" s="280"/>
      <c r="DK300" s="280"/>
      <c r="DL300" s="280"/>
      <c r="DM300" s="280"/>
      <c r="DN300" s="280"/>
      <c r="DO300" s="280"/>
      <c r="DP300" s="280"/>
      <c r="DQ300" s="280"/>
      <c r="DR300" s="280"/>
      <c r="DS300" s="280"/>
      <c r="DT300" s="280"/>
      <c r="DU300" s="280"/>
      <c r="DV300" s="280"/>
      <c r="DW300" s="280"/>
      <c r="DX300" s="280"/>
      <c r="DY300" s="280"/>
      <c r="DZ300" s="280"/>
      <c r="EA300" s="280"/>
      <c r="EB300" s="280"/>
      <c r="EC300" s="280"/>
      <c r="ED300" s="280"/>
      <c r="EE300" s="280"/>
      <c r="EF300" s="280"/>
      <c r="EG300" s="280"/>
      <c r="EH300" s="280"/>
      <c r="EI300" s="280"/>
      <c r="EJ300" s="280"/>
      <c r="EK300" s="280"/>
      <c r="EL300" s="280"/>
      <c r="EM300" s="280"/>
      <c r="EN300" s="280"/>
      <c r="EO300" s="280"/>
      <c r="EP300" s="521"/>
      <c r="EQ300" s="521"/>
      <c r="ER300" s="521"/>
      <c r="ES300" s="521"/>
      <c r="ET300" s="521"/>
      <c r="EU300" s="521"/>
      <c r="EV300" s="521"/>
      <c r="EW300" s="521"/>
      <c r="EX300" s="521"/>
      <c r="EY300" s="521"/>
      <c r="EZ300" s="521"/>
      <c r="FA300" s="521"/>
      <c r="FB300" s="521"/>
      <c r="FC300" s="521"/>
      <c r="FD300" s="521"/>
      <c r="FE300" s="521"/>
      <c r="FF300" s="521"/>
      <c r="FG300" s="521"/>
      <c r="FH300" s="567"/>
      <c r="FI300" s="567"/>
      <c r="FJ300" s="567"/>
      <c r="FK300" s="567"/>
      <c r="FL300" s="567"/>
      <c r="FM300" s="567"/>
      <c r="FN300" s="567"/>
      <c r="FO300" s="567"/>
    </row>
    <row r="301" spans="1:171" s="568" customFormat="1" ht="13.9" customHeight="1">
      <c r="A301" s="566"/>
      <c r="B301" s="566"/>
      <c r="C301" s="566"/>
      <c r="D301" s="569"/>
      <c r="E301" s="570"/>
      <c r="F301" s="571"/>
      <c r="G301" s="571"/>
      <c r="H301" s="571"/>
      <c r="I301" s="571"/>
      <c r="J301" s="571"/>
      <c r="K301" s="572"/>
      <c r="L301" s="569"/>
      <c r="M301" s="569"/>
      <c r="N301" s="569"/>
      <c r="O301" s="569"/>
      <c r="P301" s="566"/>
      <c r="Q301" s="566"/>
      <c r="R301" s="566"/>
      <c r="S301" s="566"/>
      <c r="T301" s="566"/>
      <c r="U301" s="566"/>
      <c r="V301" s="566"/>
      <c r="W301" s="566"/>
      <c r="X301" s="553"/>
      <c r="Y301" s="553"/>
      <c r="Z301" s="553"/>
      <c r="AA301" s="554"/>
      <c r="AB301" s="550"/>
      <c r="AC301" s="550"/>
      <c r="AD301" s="550"/>
      <c r="AE301" s="307"/>
      <c r="AF301" s="307"/>
      <c r="AG301" s="307"/>
      <c r="AH301" s="307"/>
      <c r="AI301" s="307"/>
      <c r="AJ301" s="307"/>
      <c r="AK301" s="307"/>
      <c r="AL301" s="307"/>
      <c r="AM301" s="307"/>
      <c r="AN301" s="307"/>
      <c r="AO301" s="307"/>
      <c r="AP301" s="307"/>
      <c r="AQ301" s="307"/>
      <c r="AR301" s="307"/>
      <c r="AS301" s="307"/>
      <c r="AT301" s="307"/>
      <c r="AU301" s="307"/>
      <c r="AV301" s="307"/>
      <c r="AW301" s="307"/>
      <c r="AX301" s="307"/>
      <c r="AY301" s="307"/>
      <c r="AZ301" s="307"/>
      <c r="BA301" s="307"/>
      <c r="BB301" s="307"/>
      <c r="BC301" s="307"/>
      <c r="BD301" s="307"/>
      <c r="BE301" s="307"/>
      <c r="BF301" s="307"/>
      <c r="BG301" s="307"/>
      <c r="BH301" s="307"/>
      <c r="BI301" s="307"/>
      <c r="BJ301" s="307"/>
      <c r="BK301" s="307"/>
      <c r="BL301" s="307"/>
      <c r="BM301" s="307"/>
      <c r="BN301" s="307"/>
      <c r="BO301" s="307"/>
      <c r="BP301" s="307"/>
      <c r="BQ301" s="307"/>
      <c r="BR301" s="307"/>
      <c r="BS301" s="307"/>
      <c r="BT301" s="307"/>
      <c r="BU301" s="307"/>
      <c r="BV301" s="307"/>
      <c r="BW301" s="307"/>
      <c r="BX301" s="307"/>
      <c r="BY301" s="307"/>
      <c r="BZ301" s="307"/>
      <c r="CA301" s="307"/>
      <c r="CB301" s="307"/>
      <c r="CC301" s="307"/>
      <c r="CD301" s="307"/>
      <c r="CE301" s="307"/>
      <c r="CF301" s="307"/>
      <c r="CG301" s="307"/>
      <c r="CH301" s="307"/>
      <c r="CI301" s="307"/>
      <c r="CJ301" s="307"/>
      <c r="CK301" s="307"/>
      <c r="CL301" s="307"/>
      <c r="CM301" s="307"/>
      <c r="CN301" s="307"/>
      <c r="CO301" s="307"/>
      <c r="CP301" s="307"/>
      <c r="CQ301" s="307"/>
      <c r="CR301" s="307"/>
      <c r="CS301" s="307"/>
      <c r="CT301" s="307"/>
      <c r="CU301" s="307"/>
      <c r="CV301" s="307"/>
      <c r="CW301" s="307"/>
      <c r="CX301" s="307"/>
      <c r="CY301" s="307"/>
      <c r="CZ301" s="307"/>
      <c r="DA301" s="307"/>
      <c r="DB301" s="280"/>
      <c r="DC301" s="280"/>
      <c r="DD301" s="280"/>
      <c r="DE301" s="280"/>
      <c r="DF301" s="280"/>
      <c r="DG301" s="280"/>
      <c r="DH301" s="280"/>
      <c r="DI301" s="280"/>
      <c r="DJ301" s="280"/>
      <c r="DK301" s="280"/>
      <c r="DL301" s="280"/>
      <c r="DM301" s="280"/>
      <c r="DN301" s="280"/>
      <c r="DO301" s="280"/>
      <c r="DP301" s="280"/>
      <c r="DQ301" s="280"/>
      <c r="DR301" s="280"/>
      <c r="DS301" s="280"/>
      <c r="DT301" s="280"/>
      <c r="DU301" s="280"/>
      <c r="DV301" s="280"/>
      <c r="DW301" s="280"/>
      <c r="DX301" s="280"/>
      <c r="DY301" s="280"/>
      <c r="DZ301" s="280"/>
      <c r="EA301" s="280"/>
      <c r="EB301" s="280"/>
      <c r="EC301" s="280"/>
      <c r="ED301" s="280"/>
      <c r="EE301" s="280"/>
      <c r="EF301" s="280"/>
      <c r="EG301" s="280"/>
      <c r="EH301" s="280"/>
      <c r="EI301" s="280"/>
      <c r="EJ301" s="280"/>
      <c r="EK301" s="280"/>
      <c r="EL301" s="280"/>
      <c r="EM301" s="280"/>
      <c r="EN301" s="280"/>
      <c r="EO301" s="280"/>
      <c r="EP301" s="521"/>
      <c r="EQ301" s="521"/>
      <c r="ER301" s="521"/>
      <c r="ES301" s="521"/>
      <c r="ET301" s="521"/>
      <c r="EU301" s="521"/>
      <c r="EV301" s="521"/>
      <c r="EW301" s="521"/>
      <c r="EX301" s="521"/>
      <c r="EY301" s="521"/>
      <c r="EZ301" s="521"/>
      <c r="FA301" s="521"/>
      <c r="FB301" s="521"/>
      <c r="FC301" s="521"/>
      <c r="FD301" s="521"/>
      <c r="FE301" s="521"/>
      <c r="FF301" s="521"/>
      <c r="FG301" s="521"/>
      <c r="FH301" s="567"/>
      <c r="FI301" s="567"/>
      <c r="FJ301" s="567"/>
      <c r="FK301" s="567"/>
      <c r="FL301" s="567"/>
      <c r="FM301" s="567"/>
      <c r="FN301" s="567"/>
      <c r="FO301" s="567"/>
    </row>
    <row r="302" spans="1:171" s="568" customFormat="1" ht="13.9" customHeight="1">
      <c r="A302" s="566"/>
      <c r="B302" s="566"/>
      <c r="C302" s="566"/>
      <c r="D302" s="569"/>
      <c r="E302" s="570"/>
      <c r="F302" s="571"/>
      <c r="G302" s="571"/>
      <c r="H302" s="571"/>
      <c r="I302" s="571"/>
      <c r="J302" s="571"/>
      <c r="K302" s="572"/>
      <c r="L302" s="569"/>
      <c r="M302" s="569"/>
      <c r="N302" s="569"/>
      <c r="O302" s="569"/>
      <c r="P302" s="566"/>
      <c r="Q302" s="566"/>
      <c r="R302" s="566"/>
      <c r="S302" s="566"/>
      <c r="T302" s="566"/>
      <c r="U302" s="566"/>
      <c r="V302" s="566"/>
      <c r="W302" s="566"/>
      <c r="X302" s="553"/>
      <c r="Y302" s="553"/>
      <c r="Z302" s="553"/>
      <c r="AA302" s="554"/>
      <c r="AB302" s="550"/>
      <c r="AC302" s="550"/>
      <c r="AD302" s="550"/>
      <c r="AE302" s="307"/>
      <c r="AF302" s="307"/>
      <c r="AG302" s="307"/>
      <c r="AH302" s="307"/>
      <c r="AI302" s="307"/>
      <c r="AJ302" s="307"/>
      <c r="AK302" s="307"/>
      <c r="AL302" s="307"/>
      <c r="AM302" s="307"/>
      <c r="AN302" s="307"/>
      <c r="AO302" s="307"/>
      <c r="AP302" s="307"/>
      <c r="AQ302" s="307"/>
      <c r="AR302" s="307"/>
      <c r="AS302" s="307"/>
      <c r="AT302" s="307"/>
      <c r="AU302" s="307"/>
      <c r="AV302" s="307"/>
      <c r="AW302" s="307"/>
      <c r="AX302" s="307"/>
      <c r="AY302" s="307"/>
      <c r="AZ302" s="307"/>
      <c r="BA302" s="307"/>
      <c r="BB302" s="307"/>
      <c r="BC302" s="307"/>
      <c r="BD302" s="307"/>
      <c r="BE302" s="307"/>
      <c r="BF302" s="307"/>
      <c r="BG302" s="307"/>
      <c r="BH302" s="307"/>
      <c r="BI302" s="307"/>
      <c r="BJ302" s="307"/>
      <c r="BK302" s="307"/>
      <c r="BL302" s="307"/>
      <c r="BM302" s="307"/>
      <c r="BN302" s="307"/>
      <c r="BO302" s="307"/>
      <c r="BP302" s="307"/>
      <c r="BQ302" s="307"/>
      <c r="BR302" s="307"/>
      <c r="BS302" s="307"/>
      <c r="BT302" s="307"/>
      <c r="BU302" s="307"/>
      <c r="BV302" s="307"/>
      <c r="BW302" s="307"/>
      <c r="BX302" s="307"/>
      <c r="BY302" s="307"/>
      <c r="BZ302" s="307"/>
      <c r="CA302" s="307"/>
      <c r="CB302" s="307"/>
      <c r="CC302" s="307"/>
      <c r="CD302" s="307"/>
      <c r="CE302" s="307"/>
      <c r="CF302" s="307"/>
      <c r="CG302" s="307"/>
      <c r="CH302" s="307"/>
      <c r="CI302" s="307"/>
      <c r="CJ302" s="307"/>
      <c r="CK302" s="307"/>
      <c r="CL302" s="307"/>
      <c r="CM302" s="307"/>
      <c r="CN302" s="307"/>
      <c r="CO302" s="307"/>
      <c r="CP302" s="307"/>
      <c r="CQ302" s="307"/>
      <c r="CR302" s="307"/>
      <c r="CS302" s="307"/>
      <c r="CT302" s="307"/>
      <c r="CU302" s="307"/>
      <c r="CV302" s="307"/>
      <c r="CW302" s="307"/>
      <c r="CX302" s="307"/>
      <c r="CY302" s="307"/>
      <c r="CZ302" s="307"/>
      <c r="DA302" s="307"/>
      <c r="DB302" s="280"/>
      <c r="DC302" s="280"/>
      <c r="DD302" s="280"/>
      <c r="DE302" s="280"/>
      <c r="DF302" s="280"/>
      <c r="DG302" s="280"/>
      <c r="DH302" s="280"/>
      <c r="DI302" s="280"/>
      <c r="DJ302" s="280"/>
      <c r="DK302" s="280"/>
      <c r="DL302" s="280"/>
      <c r="DM302" s="280"/>
      <c r="DN302" s="280"/>
      <c r="DO302" s="280"/>
      <c r="DP302" s="280"/>
      <c r="DQ302" s="280"/>
      <c r="DR302" s="280"/>
      <c r="DS302" s="280"/>
      <c r="DT302" s="280"/>
      <c r="DU302" s="280"/>
      <c r="DV302" s="280"/>
      <c r="DW302" s="280"/>
      <c r="DX302" s="280"/>
      <c r="DY302" s="280"/>
      <c r="DZ302" s="280"/>
      <c r="EA302" s="280"/>
      <c r="EB302" s="280"/>
      <c r="EC302" s="280"/>
      <c r="ED302" s="280"/>
      <c r="EE302" s="280"/>
      <c r="EF302" s="280"/>
      <c r="EG302" s="280"/>
      <c r="EH302" s="280"/>
      <c r="EI302" s="280"/>
      <c r="EJ302" s="280"/>
      <c r="EK302" s="280"/>
      <c r="EL302" s="280"/>
      <c r="EM302" s="280"/>
      <c r="EN302" s="280"/>
      <c r="EO302" s="280"/>
      <c r="EP302" s="521"/>
      <c r="EQ302" s="521"/>
      <c r="ER302" s="521"/>
      <c r="ES302" s="521"/>
      <c r="ET302" s="521"/>
      <c r="EU302" s="521"/>
      <c r="EV302" s="521"/>
      <c r="EW302" s="521"/>
      <c r="EX302" s="521"/>
      <c r="EY302" s="521"/>
      <c r="EZ302" s="521"/>
      <c r="FA302" s="521"/>
      <c r="FB302" s="521"/>
      <c r="FC302" s="521"/>
      <c r="FD302" s="521"/>
      <c r="FE302" s="521"/>
      <c r="FF302" s="521"/>
      <c r="FG302" s="521"/>
      <c r="FH302" s="567"/>
      <c r="FI302" s="567"/>
      <c r="FJ302" s="567"/>
      <c r="FK302" s="567"/>
      <c r="FL302" s="567"/>
      <c r="FM302" s="567"/>
      <c r="FN302" s="567"/>
      <c r="FO302" s="567"/>
    </row>
    <row r="303" spans="1:171" s="568" customFormat="1" ht="13.9" customHeight="1">
      <c r="A303" s="566"/>
      <c r="B303" s="566"/>
      <c r="C303" s="566"/>
      <c r="D303" s="569"/>
      <c r="E303" s="570"/>
      <c r="F303" s="571"/>
      <c r="G303" s="571"/>
      <c r="H303" s="571"/>
      <c r="I303" s="571"/>
      <c r="J303" s="571"/>
      <c r="K303" s="572"/>
      <c r="L303" s="569"/>
      <c r="M303" s="569"/>
      <c r="N303" s="569"/>
      <c r="O303" s="569"/>
      <c r="P303" s="566"/>
      <c r="Q303" s="566"/>
      <c r="R303" s="566"/>
      <c r="S303" s="566"/>
      <c r="T303" s="566"/>
      <c r="U303" s="566"/>
      <c r="V303" s="566"/>
      <c r="W303" s="566"/>
      <c r="X303" s="553"/>
      <c r="Y303" s="553"/>
      <c r="Z303" s="553"/>
      <c r="AA303" s="554"/>
      <c r="AB303" s="550"/>
      <c r="AC303" s="550"/>
      <c r="AD303" s="550"/>
      <c r="AE303" s="307"/>
      <c r="AF303" s="307"/>
      <c r="AG303" s="307"/>
      <c r="AH303" s="307"/>
      <c r="AI303" s="307"/>
      <c r="AJ303" s="307"/>
      <c r="AK303" s="307"/>
      <c r="AL303" s="307"/>
      <c r="AM303" s="307"/>
      <c r="AN303" s="307"/>
      <c r="AO303" s="307"/>
      <c r="AP303" s="307"/>
      <c r="AQ303" s="307"/>
      <c r="AR303" s="307"/>
      <c r="AS303" s="307"/>
      <c r="AT303" s="307"/>
      <c r="AU303" s="307"/>
      <c r="AV303" s="307"/>
      <c r="AW303" s="307"/>
      <c r="AX303" s="307"/>
      <c r="AY303" s="307"/>
      <c r="AZ303" s="307"/>
      <c r="BA303" s="307"/>
      <c r="BB303" s="307"/>
      <c r="BC303" s="307"/>
      <c r="BD303" s="307"/>
      <c r="BE303" s="307"/>
      <c r="BF303" s="307"/>
      <c r="BG303" s="307"/>
      <c r="BH303" s="307"/>
      <c r="BI303" s="307"/>
      <c r="BJ303" s="307"/>
      <c r="BK303" s="307"/>
      <c r="BL303" s="307"/>
      <c r="BM303" s="307"/>
      <c r="BN303" s="307"/>
      <c r="BO303" s="307"/>
      <c r="BP303" s="307"/>
      <c r="BQ303" s="307"/>
      <c r="BR303" s="307"/>
      <c r="BS303" s="307"/>
      <c r="BT303" s="307"/>
      <c r="BU303" s="307"/>
      <c r="BV303" s="307"/>
      <c r="BW303" s="307"/>
      <c r="BX303" s="307"/>
      <c r="BY303" s="307"/>
      <c r="BZ303" s="307"/>
      <c r="CA303" s="307"/>
      <c r="CB303" s="307"/>
      <c r="CC303" s="307"/>
      <c r="CD303" s="307"/>
      <c r="CE303" s="307"/>
      <c r="CF303" s="307"/>
      <c r="CG303" s="307"/>
      <c r="CH303" s="307"/>
      <c r="CI303" s="307"/>
      <c r="CJ303" s="307"/>
      <c r="CK303" s="307"/>
      <c r="CL303" s="307"/>
      <c r="CM303" s="307"/>
      <c r="CN303" s="307"/>
      <c r="CO303" s="307"/>
      <c r="CP303" s="307"/>
      <c r="CQ303" s="307"/>
      <c r="CR303" s="307"/>
      <c r="CS303" s="307"/>
      <c r="CT303" s="307"/>
      <c r="CU303" s="307"/>
      <c r="CV303" s="307"/>
      <c r="CW303" s="307"/>
      <c r="CX303" s="307"/>
      <c r="CY303" s="307"/>
      <c r="CZ303" s="307"/>
      <c r="DA303" s="307"/>
      <c r="DB303" s="280"/>
      <c r="DC303" s="280"/>
      <c r="DD303" s="280"/>
      <c r="DE303" s="280"/>
      <c r="DF303" s="280"/>
      <c r="DG303" s="280"/>
      <c r="DH303" s="280"/>
      <c r="DI303" s="280"/>
      <c r="DJ303" s="280"/>
      <c r="DK303" s="280"/>
      <c r="DL303" s="280"/>
      <c r="DM303" s="280"/>
      <c r="DN303" s="280"/>
      <c r="DO303" s="280"/>
      <c r="DP303" s="280"/>
      <c r="DQ303" s="280"/>
      <c r="DR303" s="280"/>
      <c r="DS303" s="280"/>
      <c r="DT303" s="280"/>
      <c r="DU303" s="280"/>
      <c r="DV303" s="280"/>
      <c r="DW303" s="280"/>
      <c r="DX303" s="280"/>
      <c r="DY303" s="280"/>
      <c r="DZ303" s="280"/>
      <c r="EA303" s="280"/>
      <c r="EB303" s="280"/>
      <c r="EC303" s="280"/>
      <c r="ED303" s="280"/>
      <c r="EE303" s="280"/>
      <c r="EF303" s="280"/>
      <c r="EG303" s="280"/>
      <c r="EH303" s="280"/>
      <c r="EI303" s="280"/>
      <c r="EJ303" s="280"/>
      <c r="EK303" s="280"/>
      <c r="EL303" s="280"/>
      <c r="EM303" s="280"/>
      <c r="EN303" s="280"/>
      <c r="EO303" s="280"/>
      <c r="EP303" s="521"/>
      <c r="EQ303" s="521"/>
      <c r="ER303" s="521"/>
      <c r="ES303" s="521"/>
      <c r="ET303" s="521"/>
      <c r="EU303" s="521"/>
      <c r="EV303" s="521"/>
      <c r="EW303" s="521"/>
      <c r="EX303" s="521"/>
      <c r="EY303" s="521"/>
      <c r="EZ303" s="521"/>
      <c r="FA303" s="521"/>
      <c r="FB303" s="521"/>
      <c r="FC303" s="521"/>
      <c r="FD303" s="521"/>
      <c r="FE303" s="521"/>
      <c r="FF303" s="521"/>
      <c r="FG303" s="521"/>
      <c r="FH303" s="567"/>
      <c r="FI303" s="567"/>
      <c r="FJ303" s="567"/>
      <c r="FK303" s="567"/>
      <c r="FL303" s="567"/>
      <c r="FM303" s="567"/>
      <c r="FN303" s="567"/>
      <c r="FO303" s="567"/>
    </row>
    <row r="304" spans="1:171" s="568" customFormat="1" ht="13.9" customHeight="1">
      <c r="A304" s="566"/>
      <c r="B304" s="566"/>
      <c r="C304" s="566"/>
      <c r="D304" s="569"/>
      <c r="E304" s="570"/>
      <c r="F304" s="571"/>
      <c r="G304" s="571"/>
      <c r="H304" s="571"/>
      <c r="I304" s="571"/>
      <c r="J304" s="571"/>
      <c r="K304" s="572"/>
      <c r="L304" s="569"/>
      <c r="M304" s="569"/>
      <c r="N304" s="569"/>
      <c r="O304" s="569"/>
      <c r="P304" s="566"/>
      <c r="Q304" s="566"/>
      <c r="R304" s="566"/>
      <c r="S304" s="566"/>
      <c r="T304" s="566"/>
      <c r="U304" s="566"/>
      <c r="V304" s="566"/>
      <c r="W304" s="566"/>
      <c r="X304" s="553"/>
      <c r="Y304" s="553"/>
      <c r="Z304" s="553"/>
      <c r="AA304" s="554"/>
      <c r="AB304" s="550"/>
      <c r="AC304" s="550"/>
      <c r="AD304" s="550"/>
      <c r="AE304" s="307"/>
      <c r="AF304" s="307"/>
      <c r="AG304" s="307"/>
      <c r="AH304" s="307"/>
      <c r="AI304" s="307"/>
      <c r="AJ304" s="307"/>
      <c r="AK304" s="307"/>
      <c r="AL304" s="307"/>
      <c r="AM304" s="307"/>
      <c r="AN304" s="307"/>
      <c r="AO304" s="307"/>
      <c r="AP304" s="307"/>
      <c r="AQ304" s="307"/>
      <c r="AR304" s="307"/>
      <c r="AS304" s="307"/>
      <c r="AT304" s="307"/>
      <c r="AU304" s="307"/>
      <c r="AV304" s="307"/>
      <c r="AW304" s="307"/>
      <c r="AX304" s="307"/>
      <c r="AY304" s="307"/>
      <c r="AZ304" s="307"/>
      <c r="BA304" s="307"/>
      <c r="BB304" s="307"/>
      <c r="BC304" s="307"/>
      <c r="BD304" s="307"/>
      <c r="BE304" s="307"/>
      <c r="BF304" s="307"/>
      <c r="BG304" s="307"/>
      <c r="BH304" s="307"/>
      <c r="BI304" s="307"/>
      <c r="BJ304" s="307"/>
      <c r="BK304" s="307"/>
      <c r="BL304" s="307"/>
      <c r="BM304" s="307"/>
      <c r="BN304" s="307"/>
      <c r="BO304" s="307"/>
      <c r="BP304" s="307"/>
      <c r="BQ304" s="307"/>
      <c r="BR304" s="307"/>
      <c r="BS304" s="307"/>
      <c r="BT304" s="307"/>
      <c r="BU304" s="307"/>
      <c r="BV304" s="307"/>
      <c r="BW304" s="307"/>
      <c r="BX304" s="307"/>
      <c r="BY304" s="307"/>
      <c r="BZ304" s="307"/>
      <c r="CA304" s="307"/>
      <c r="CB304" s="307"/>
      <c r="CC304" s="307"/>
      <c r="CD304" s="307"/>
      <c r="CE304" s="307"/>
      <c r="CF304" s="307"/>
      <c r="CG304" s="307"/>
      <c r="CH304" s="307"/>
      <c r="CI304" s="307"/>
      <c r="CJ304" s="307"/>
      <c r="CK304" s="307"/>
      <c r="CL304" s="307"/>
      <c r="CM304" s="307"/>
      <c r="CN304" s="307"/>
      <c r="CO304" s="307"/>
      <c r="CP304" s="307"/>
      <c r="CQ304" s="307"/>
      <c r="CR304" s="307"/>
      <c r="CS304" s="307"/>
      <c r="CT304" s="307"/>
      <c r="CU304" s="307"/>
      <c r="CV304" s="307"/>
      <c r="CW304" s="307"/>
      <c r="CX304" s="307"/>
      <c r="CY304" s="307"/>
      <c r="CZ304" s="307"/>
      <c r="DA304" s="307"/>
      <c r="DB304" s="280"/>
      <c r="DC304" s="280"/>
      <c r="DD304" s="280"/>
      <c r="DE304" s="280"/>
      <c r="DF304" s="280"/>
      <c r="DG304" s="280"/>
      <c r="DH304" s="280"/>
      <c r="DI304" s="280"/>
      <c r="DJ304" s="280"/>
      <c r="DK304" s="280"/>
      <c r="DL304" s="280"/>
      <c r="DM304" s="280"/>
      <c r="DN304" s="280"/>
      <c r="DO304" s="280"/>
      <c r="DP304" s="280"/>
      <c r="DQ304" s="280"/>
      <c r="DR304" s="280"/>
      <c r="DS304" s="280"/>
      <c r="DT304" s="280"/>
      <c r="DU304" s="280"/>
      <c r="DV304" s="280"/>
      <c r="DW304" s="280"/>
      <c r="DX304" s="280"/>
      <c r="DY304" s="280"/>
      <c r="DZ304" s="280"/>
      <c r="EA304" s="280"/>
      <c r="EB304" s="280"/>
      <c r="EC304" s="280"/>
      <c r="ED304" s="280"/>
      <c r="EE304" s="280"/>
      <c r="EF304" s="280"/>
      <c r="EG304" s="280"/>
      <c r="EH304" s="280"/>
      <c r="EI304" s="280"/>
      <c r="EJ304" s="280"/>
      <c r="EK304" s="280"/>
      <c r="EL304" s="280"/>
      <c r="EM304" s="280"/>
      <c r="EN304" s="280"/>
      <c r="EO304" s="280"/>
      <c r="EP304" s="521"/>
      <c r="EQ304" s="521"/>
      <c r="ER304" s="521"/>
      <c r="ES304" s="521"/>
      <c r="ET304" s="521"/>
      <c r="EU304" s="521"/>
      <c r="EV304" s="521"/>
      <c r="EW304" s="521"/>
      <c r="EX304" s="521"/>
      <c r="EY304" s="521"/>
      <c r="EZ304" s="521"/>
      <c r="FA304" s="521"/>
      <c r="FB304" s="521"/>
      <c r="FC304" s="521"/>
      <c r="FD304" s="521"/>
      <c r="FE304" s="521"/>
      <c r="FF304" s="521"/>
      <c r="FG304" s="521"/>
      <c r="FH304" s="567"/>
      <c r="FI304" s="567"/>
      <c r="FJ304" s="567"/>
      <c r="FK304" s="567"/>
      <c r="FL304" s="567"/>
      <c r="FM304" s="567"/>
      <c r="FN304" s="567"/>
      <c r="FO304" s="567"/>
    </row>
    <row r="305" spans="1:171" s="568" customFormat="1" ht="13.9" customHeight="1">
      <c r="A305" s="566"/>
      <c r="B305" s="566"/>
      <c r="C305" s="566"/>
      <c r="D305" s="569"/>
      <c r="E305" s="570"/>
      <c r="F305" s="571"/>
      <c r="G305" s="571"/>
      <c r="H305" s="571"/>
      <c r="I305" s="571"/>
      <c r="J305" s="571"/>
      <c r="K305" s="572"/>
      <c r="L305" s="569"/>
      <c r="M305" s="569"/>
      <c r="N305" s="569"/>
      <c r="O305" s="569"/>
      <c r="P305" s="566"/>
      <c r="Q305" s="566"/>
      <c r="R305" s="566"/>
      <c r="S305" s="566"/>
      <c r="T305" s="566"/>
      <c r="U305" s="566"/>
      <c r="V305" s="566"/>
      <c r="W305" s="566"/>
      <c r="X305" s="553"/>
      <c r="Y305" s="553"/>
      <c r="Z305" s="553"/>
      <c r="AA305" s="554"/>
      <c r="AB305" s="550"/>
      <c r="AC305" s="550"/>
      <c r="AD305" s="550"/>
      <c r="AE305" s="307"/>
      <c r="AF305" s="307"/>
      <c r="AG305" s="307"/>
      <c r="AH305" s="307"/>
      <c r="AI305" s="307"/>
      <c r="AJ305" s="307"/>
      <c r="AK305" s="307"/>
      <c r="AL305" s="307"/>
      <c r="AM305" s="307"/>
      <c r="AN305" s="307"/>
      <c r="AO305" s="307"/>
      <c r="AP305" s="307"/>
      <c r="AQ305" s="307"/>
      <c r="AR305" s="307"/>
      <c r="AS305" s="307"/>
      <c r="AT305" s="307"/>
      <c r="AU305" s="307"/>
      <c r="AV305" s="307"/>
      <c r="AW305" s="307"/>
      <c r="AX305" s="307"/>
      <c r="AY305" s="307"/>
      <c r="AZ305" s="307"/>
      <c r="BA305" s="307"/>
      <c r="BB305" s="307"/>
      <c r="BC305" s="307"/>
      <c r="BD305" s="307"/>
      <c r="BE305" s="307"/>
      <c r="BF305" s="307"/>
      <c r="BG305" s="307"/>
      <c r="BH305" s="307"/>
      <c r="BI305" s="307"/>
      <c r="BJ305" s="307"/>
      <c r="BK305" s="307"/>
      <c r="BL305" s="307"/>
      <c r="BM305" s="307"/>
      <c r="BN305" s="307"/>
      <c r="BO305" s="307"/>
      <c r="BP305" s="307"/>
      <c r="BQ305" s="307"/>
      <c r="BR305" s="307"/>
      <c r="BS305" s="307"/>
      <c r="BT305" s="307"/>
      <c r="BU305" s="307"/>
      <c r="BV305" s="307"/>
      <c r="BW305" s="307"/>
      <c r="BX305" s="307"/>
      <c r="BY305" s="307"/>
      <c r="BZ305" s="307"/>
      <c r="CA305" s="307"/>
      <c r="CB305" s="307"/>
      <c r="CC305" s="307"/>
      <c r="CD305" s="307"/>
      <c r="CE305" s="307"/>
      <c r="CF305" s="307"/>
      <c r="CG305" s="307"/>
      <c r="CH305" s="307"/>
      <c r="CI305" s="307"/>
      <c r="CJ305" s="307"/>
      <c r="CK305" s="307"/>
      <c r="CL305" s="307"/>
      <c r="CM305" s="307"/>
      <c r="CN305" s="307"/>
      <c r="CO305" s="307"/>
      <c r="CP305" s="307"/>
      <c r="CQ305" s="307"/>
      <c r="CR305" s="307"/>
      <c r="CS305" s="307"/>
      <c r="CT305" s="307"/>
      <c r="CU305" s="307"/>
      <c r="CV305" s="307"/>
      <c r="CW305" s="307"/>
      <c r="CX305" s="307"/>
      <c r="CY305" s="307"/>
      <c r="CZ305" s="307"/>
      <c r="DA305" s="307"/>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521"/>
      <c r="EQ305" s="521"/>
      <c r="ER305" s="521"/>
      <c r="ES305" s="521"/>
      <c r="ET305" s="521"/>
      <c r="EU305" s="521"/>
      <c r="EV305" s="521"/>
      <c r="EW305" s="521"/>
      <c r="EX305" s="521"/>
      <c r="EY305" s="521"/>
      <c r="EZ305" s="521"/>
      <c r="FA305" s="521"/>
      <c r="FB305" s="521"/>
      <c r="FC305" s="521"/>
      <c r="FD305" s="521"/>
      <c r="FE305" s="521"/>
      <c r="FF305" s="521"/>
      <c r="FG305" s="521"/>
      <c r="FH305" s="567"/>
      <c r="FI305" s="567"/>
      <c r="FJ305" s="567"/>
      <c r="FK305" s="567"/>
      <c r="FL305" s="567"/>
      <c r="FM305" s="567"/>
      <c r="FN305" s="567"/>
      <c r="FO305" s="567"/>
    </row>
    <row r="306" spans="1:171" s="568" customFormat="1" ht="13.9" customHeight="1">
      <c r="A306" s="566"/>
      <c r="B306" s="566"/>
      <c r="C306" s="566"/>
      <c r="D306" s="569"/>
      <c r="E306" s="570"/>
      <c r="F306" s="571"/>
      <c r="G306" s="571"/>
      <c r="H306" s="571"/>
      <c r="I306" s="571"/>
      <c r="J306" s="571"/>
      <c r="K306" s="572"/>
      <c r="L306" s="569"/>
      <c r="M306" s="569"/>
      <c r="N306" s="569"/>
      <c r="O306" s="569"/>
      <c r="P306" s="566"/>
      <c r="Q306" s="566"/>
      <c r="R306" s="566"/>
      <c r="S306" s="566"/>
      <c r="T306" s="566"/>
      <c r="U306" s="566"/>
      <c r="V306" s="566"/>
      <c r="W306" s="566"/>
      <c r="X306" s="553"/>
      <c r="Y306" s="553"/>
      <c r="Z306" s="553"/>
      <c r="AA306" s="554"/>
      <c r="AB306" s="550"/>
      <c r="AC306" s="550"/>
      <c r="AD306" s="550"/>
      <c r="AE306" s="307"/>
      <c r="AF306" s="307"/>
      <c r="AG306" s="307"/>
      <c r="AH306" s="307"/>
      <c r="AI306" s="307"/>
      <c r="AJ306" s="307"/>
      <c r="AK306" s="307"/>
      <c r="AL306" s="307"/>
      <c r="AM306" s="307"/>
      <c r="AN306" s="307"/>
      <c r="AO306" s="307"/>
      <c r="AP306" s="307"/>
      <c r="AQ306" s="307"/>
      <c r="AR306" s="307"/>
      <c r="AS306" s="307"/>
      <c r="AT306" s="307"/>
      <c r="AU306" s="307"/>
      <c r="AV306" s="307"/>
      <c r="AW306" s="307"/>
      <c r="AX306" s="307"/>
      <c r="AY306" s="307"/>
      <c r="AZ306" s="307"/>
      <c r="BA306" s="307"/>
      <c r="BB306" s="307"/>
      <c r="BC306" s="307"/>
      <c r="BD306" s="307"/>
      <c r="BE306" s="307"/>
      <c r="BF306" s="307"/>
      <c r="BG306" s="307"/>
      <c r="BH306" s="307"/>
      <c r="BI306" s="307"/>
      <c r="BJ306" s="307"/>
      <c r="BK306" s="307"/>
      <c r="BL306" s="307"/>
      <c r="BM306" s="307"/>
      <c r="BN306" s="307"/>
      <c r="BO306" s="307"/>
      <c r="BP306" s="307"/>
      <c r="BQ306" s="307"/>
      <c r="BR306" s="307"/>
      <c r="BS306" s="307"/>
      <c r="BT306" s="307"/>
      <c r="BU306" s="307"/>
      <c r="BV306" s="307"/>
      <c r="BW306" s="307"/>
      <c r="BX306" s="307"/>
      <c r="BY306" s="307"/>
      <c r="BZ306" s="307"/>
      <c r="CA306" s="307"/>
      <c r="CB306" s="307"/>
      <c r="CC306" s="307"/>
      <c r="CD306" s="307"/>
      <c r="CE306" s="307"/>
      <c r="CF306" s="307"/>
      <c r="CG306" s="307"/>
      <c r="CH306" s="307"/>
      <c r="CI306" s="307"/>
      <c r="CJ306" s="307"/>
      <c r="CK306" s="307"/>
      <c r="CL306" s="307"/>
      <c r="CM306" s="307"/>
      <c r="CN306" s="307"/>
      <c r="CO306" s="307"/>
      <c r="CP306" s="307"/>
      <c r="CQ306" s="307"/>
      <c r="CR306" s="307"/>
      <c r="CS306" s="307"/>
      <c r="CT306" s="307"/>
      <c r="CU306" s="307"/>
      <c r="CV306" s="307"/>
      <c r="CW306" s="307"/>
      <c r="CX306" s="307"/>
      <c r="CY306" s="307"/>
      <c r="CZ306" s="307"/>
      <c r="DA306" s="307"/>
      <c r="DB306" s="280"/>
      <c r="DC306" s="280"/>
      <c r="DD306" s="280"/>
      <c r="DE306" s="280"/>
      <c r="DF306" s="280"/>
      <c r="DG306" s="280"/>
      <c r="DH306" s="280"/>
      <c r="DI306" s="280"/>
      <c r="DJ306" s="280"/>
      <c r="DK306" s="280"/>
      <c r="DL306" s="280"/>
      <c r="DM306" s="280"/>
      <c r="DN306" s="280"/>
      <c r="DO306" s="280"/>
      <c r="DP306" s="280"/>
      <c r="DQ306" s="280"/>
      <c r="DR306" s="280"/>
      <c r="DS306" s="280"/>
      <c r="DT306" s="280"/>
      <c r="DU306" s="280"/>
      <c r="DV306" s="280"/>
      <c r="DW306" s="280"/>
      <c r="DX306" s="280"/>
      <c r="DY306" s="280"/>
      <c r="DZ306" s="280"/>
      <c r="EA306" s="280"/>
      <c r="EB306" s="280"/>
      <c r="EC306" s="280"/>
      <c r="ED306" s="280"/>
      <c r="EE306" s="280"/>
      <c r="EF306" s="280"/>
      <c r="EG306" s="280"/>
      <c r="EH306" s="280"/>
      <c r="EI306" s="280"/>
      <c r="EJ306" s="280"/>
      <c r="EK306" s="280"/>
      <c r="EL306" s="280"/>
      <c r="EM306" s="280"/>
      <c r="EN306" s="280"/>
      <c r="EO306" s="280"/>
      <c r="EP306" s="521"/>
      <c r="EQ306" s="521"/>
      <c r="ER306" s="521"/>
      <c r="ES306" s="521"/>
      <c r="ET306" s="521"/>
      <c r="EU306" s="521"/>
      <c r="EV306" s="521"/>
      <c r="EW306" s="521"/>
      <c r="EX306" s="521"/>
      <c r="EY306" s="521"/>
      <c r="EZ306" s="521"/>
      <c r="FA306" s="521"/>
      <c r="FB306" s="521"/>
      <c r="FC306" s="521"/>
      <c r="FD306" s="521"/>
      <c r="FE306" s="521"/>
      <c r="FF306" s="521"/>
      <c r="FG306" s="521"/>
      <c r="FH306" s="567"/>
      <c r="FI306" s="567"/>
      <c r="FJ306" s="567"/>
      <c r="FK306" s="567"/>
      <c r="FL306" s="567"/>
      <c r="FM306" s="567"/>
      <c r="FN306" s="567"/>
      <c r="FO306" s="567"/>
    </row>
    <row r="307" spans="1:171" s="568" customFormat="1" ht="13.9" customHeight="1">
      <c r="A307" s="566"/>
      <c r="B307" s="566"/>
      <c r="C307" s="566"/>
      <c r="D307" s="569"/>
      <c r="E307" s="570"/>
      <c r="F307" s="571"/>
      <c r="G307" s="571"/>
      <c r="H307" s="571"/>
      <c r="I307" s="571"/>
      <c r="J307" s="571"/>
      <c r="K307" s="572"/>
      <c r="L307" s="569"/>
      <c r="M307" s="569"/>
      <c r="N307" s="569"/>
      <c r="O307" s="569"/>
      <c r="P307" s="566"/>
      <c r="Q307" s="566"/>
      <c r="R307" s="566"/>
      <c r="S307" s="566"/>
      <c r="T307" s="566"/>
      <c r="U307" s="566"/>
      <c r="V307" s="566"/>
      <c r="W307" s="566"/>
      <c r="X307" s="553"/>
      <c r="Y307" s="553"/>
      <c r="Z307" s="553"/>
      <c r="AA307" s="554"/>
      <c r="AB307" s="550"/>
      <c r="AC307" s="550"/>
      <c r="AD307" s="550"/>
      <c r="AE307" s="307"/>
      <c r="AF307" s="307"/>
      <c r="AG307" s="307"/>
      <c r="AH307" s="307"/>
      <c r="AI307" s="307"/>
      <c r="AJ307" s="307"/>
      <c r="AK307" s="307"/>
      <c r="AL307" s="307"/>
      <c r="AM307" s="307"/>
      <c r="AN307" s="307"/>
      <c r="AO307" s="307"/>
      <c r="AP307" s="307"/>
      <c r="AQ307" s="307"/>
      <c r="AR307" s="307"/>
      <c r="AS307" s="307"/>
      <c r="AT307" s="307"/>
      <c r="AU307" s="307"/>
      <c r="AV307" s="307"/>
      <c r="AW307" s="307"/>
      <c r="AX307" s="307"/>
      <c r="AY307" s="307"/>
      <c r="AZ307" s="307"/>
      <c r="BA307" s="307"/>
      <c r="BB307" s="307"/>
      <c r="BC307" s="307"/>
      <c r="BD307" s="307"/>
      <c r="BE307" s="307"/>
      <c r="BF307" s="307"/>
      <c r="BG307" s="307"/>
      <c r="BH307" s="307"/>
      <c r="BI307" s="307"/>
      <c r="BJ307" s="307"/>
      <c r="BK307" s="307"/>
      <c r="BL307" s="307"/>
      <c r="BM307" s="307"/>
      <c r="BN307" s="307"/>
      <c r="BO307" s="307"/>
      <c r="BP307" s="307"/>
      <c r="BQ307" s="307"/>
      <c r="BR307" s="307"/>
      <c r="BS307" s="307"/>
      <c r="BT307" s="307"/>
      <c r="BU307" s="307"/>
      <c r="BV307" s="307"/>
      <c r="BW307" s="307"/>
      <c r="BX307" s="307"/>
      <c r="BY307" s="307"/>
      <c r="BZ307" s="307"/>
      <c r="CA307" s="307"/>
      <c r="CB307" s="307"/>
      <c r="CC307" s="307"/>
      <c r="CD307" s="307"/>
      <c r="CE307" s="307"/>
      <c r="CF307" s="307"/>
      <c r="CG307" s="307"/>
      <c r="CH307" s="307"/>
      <c r="CI307" s="307"/>
      <c r="CJ307" s="307"/>
      <c r="CK307" s="307"/>
      <c r="CL307" s="307"/>
      <c r="CM307" s="307"/>
      <c r="CN307" s="307"/>
      <c r="CO307" s="307"/>
      <c r="CP307" s="307"/>
      <c r="CQ307" s="307"/>
      <c r="CR307" s="307"/>
      <c r="CS307" s="307"/>
      <c r="CT307" s="307"/>
      <c r="CU307" s="307"/>
      <c r="CV307" s="307"/>
      <c r="CW307" s="307"/>
      <c r="CX307" s="307"/>
      <c r="CY307" s="307"/>
      <c r="CZ307" s="307"/>
      <c r="DA307" s="307"/>
      <c r="DB307" s="280"/>
      <c r="DC307" s="280"/>
      <c r="DD307" s="280"/>
      <c r="DE307" s="280"/>
      <c r="DF307" s="280"/>
      <c r="DG307" s="280"/>
      <c r="DH307" s="280"/>
      <c r="DI307" s="280"/>
      <c r="DJ307" s="280"/>
      <c r="DK307" s="280"/>
      <c r="DL307" s="280"/>
      <c r="DM307" s="280"/>
      <c r="DN307" s="280"/>
      <c r="DO307" s="280"/>
      <c r="DP307" s="280"/>
      <c r="DQ307" s="280"/>
      <c r="DR307" s="280"/>
      <c r="DS307" s="280"/>
      <c r="DT307" s="280"/>
      <c r="DU307" s="280"/>
      <c r="DV307" s="280"/>
      <c r="DW307" s="280"/>
      <c r="DX307" s="280"/>
      <c r="DY307" s="280"/>
      <c r="DZ307" s="280"/>
      <c r="EA307" s="280"/>
      <c r="EB307" s="280"/>
      <c r="EC307" s="280"/>
      <c r="ED307" s="280"/>
      <c r="EE307" s="280"/>
      <c r="EF307" s="280"/>
      <c r="EG307" s="280"/>
      <c r="EH307" s="280"/>
      <c r="EI307" s="280"/>
      <c r="EJ307" s="280"/>
      <c r="EK307" s="280"/>
      <c r="EL307" s="280"/>
      <c r="EM307" s="280"/>
      <c r="EN307" s="280"/>
      <c r="EO307" s="280"/>
      <c r="EP307" s="521"/>
      <c r="EQ307" s="521"/>
      <c r="ER307" s="521"/>
      <c r="ES307" s="521"/>
      <c r="ET307" s="521"/>
      <c r="EU307" s="521"/>
      <c r="EV307" s="521"/>
      <c r="EW307" s="521"/>
      <c r="EX307" s="521"/>
      <c r="EY307" s="521"/>
      <c r="EZ307" s="521"/>
      <c r="FA307" s="521"/>
      <c r="FB307" s="521"/>
      <c r="FC307" s="521"/>
      <c r="FD307" s="521"/>
      <c r="FE307" s="521"/>
      <c r="FF307" s="521"/>
      <c r="FG307" s="521"/>
      <c r="FH307" s="567"/>
      <c r="FI307" s="567"/>
      <c r="FJ307" s="567"/>
      <c r="FK307" s="567"/>
      <c r="FL307" s="567"/>
      <c r="FM307" s="567"/>
      <c r="FN307" s="567"/>
      <c r="FO307" s="567"/>
    </row>
    <row r="308" spans="1:171" s="568" customFormat="1" ht="13.9" customHeight="1">
      <c r="A308" s="566"/>
      <c r="B308" s="566"/>
      <c r="C308" s="566"/>
      <c r="D308" s="569"/>
      <c r="E308" s="570"/>
      <c r="F308" s="571"/>
      <c r="G308" s="571"/>
      <c r="H308" s="571"/>
      <c r="I308" s="571"/>
      <c r="J308" s="571"/>
      <c r="K308" s="572"/>
      <c r="L308" s="569"/>
      <c r="M308" s="569"/>
      <c r="N308" s="569"/>
      <c r="O308" s="569"/>
      <c r="P308" s="566"/>
      <c r="Q308" s="566"/>
      <c r="R308" s="566"/>
      <c r="S308" s="566"/>
      <c r="T308" s="566"/>
      <c r="U308" s="566"/>
      <c r="V308" s="566"/>
      <c r="W308" s="566"/>
      <c r="X308" s="553"/>
      <c r="Y308" s="553"/>
      <c r="Z308" s="553"/>
      <c r="AA308" s="554"/>
      <c r="AB308" s="550"/>
      <c r="AC308" s="550"/>
      <c r="AD308" s="550"/>
      <c r="AE308" s="307"/>
      <c r="AF308" s="307"/>
      <c r="AG308" s="307"/>
      <c r="AH308" s="307"/>
      <c r="AI308" s="307"/>
      <c r="AJ308" s="307"/>
      <c r="AK308" s="307"/>
      <c r="AL308" s="307"/>
      <c r="AM308" s="307"/>
      <c r="AN308" s="307"/>
      <c r="AO308" s="307"/>
      <c r="AP308" s="307"/>
      <c r="AQ308" s="307"/>
      <c r="AR308" s="307"/>
      <c r="AS308" s="307"/>
      <c r="AT308" s="307"/>
      <c r="AU308" s="307"/>
      <c r="AV308" s="307"/>
      <c r="AW308" s="307"/>
      <c r="AX308" s="307"/>
      <c r="AY308" s="307"/>
      <c r="AZ308" s="307"/>
      <c r="BA308" s="307"/>
      <c r="BB308" s="307"/>
      <c r="BC308" s="307"/>
      <c r="BD308" s="307"/>
      <c r="BE308" s="307"/>
      <c r="BF308" s="307"/>
      <c r="BG308" s="307"/>
      <c r="BH308" s="307"/>
      <c r="BI308" s="307"/>
      <c r="BJ308" s="307"/>
      <c r="BK308" s="307"/>
      <c r="BL308" s="307"/>
      <c r="BM308" s="307"/>
      <c r="BN308" s="307"/>
      <c r="BO308" s="307"/>
      <c r="BP308" s="307"/>
      <c r="BQ308" s="307"/>
      <c r="BR308" s="307"/>
      <c r="BS308" s="307"/>
      <c r="BT308" s="307"/>
      <c r="BU308" s="307"/>
      <c r="BV308" s="307"/>
      <c r="BW308" s="307"/>
      <c r="BX308" s="307"/>
      <c r="BY308" s="307"/>
      <c r="BZ308" s="307"/>
      <c r="CA308" s="307"/>
      <c r="CB308" s="307"/>
      <c r="CC308" s="307"/>
      <c r="CD308" s="307"/>
      <c r="CE308" s="307"/>
      <c r="CF308" s="307"/>
      <c r="CG308" s="307"/>
      <c r="CH308" s="307"/>
      <c r="CI308" s="307"/>
      <c r="CJ308" s="307"/>
      <c r="CK308" s="307"/>
      <c r="CL308" s="307"/>
      <c r="CM308" s="307"/>
      <c r="CN308" s="307"/>
      <c r="CO308" s="307"/>
      <c r="CP308" s="307"/>
      <c r="CQ308" s="307"/>
      <c r="CR308" s="307"/>
      <c r="CS308" s="307"/>
      <c r="CT308" s="307"/>
      <c r="CU308" s="307"/>
      <c r="CV308" s="307"/>
      <c r="CW308" s="307"/>
      <c r="CX308" s="307"/>
      <c r="CY308" s="307"/>
      <c r="CZ308" s="307"/>
      <c r="DA308" s="307"/>
      <c r="DB308" s="280"/>
      <c r="DC308" s="280"/>
      <c r="DD308" s="280"/>
      <c r="DE308" s="280"/>
      <c r="DF308" s="280"/>
      <c r="DG308" s="280"/>
      <c r="DH308" s="280"/>
      <c r="DI308" s="280"/>
      <c r="DJ308" s="280"/>
      <c r="DK308" s="280"/>
      <c r="DL308" s="280"/>
      <c r="DM308" s="280"/>
      <c r="DN308" s="280"/>
      <c r="DO308" s="280"/>
      <c r="DP308" s="280"/>
      <c r="DQ308" s="280"/>
      <c r="DR308" s="280"/>
      <c r="DS308" s="280"/>
      <c r="DT308" s="280"/>
      <c r="DU308" s="280"/>
      <c r="DV308" s="280"/>
      <c r="DW308" s="280"/>
      <c r="DX308" s="280"/>
      <c r="DY308" s="280"/>
      <c r="DZ308" s="280"/>
      <c r="EA308" s="280"/>
      <c r="EB308" s="280"/>
      <c r="EC308" s="280"/>
      <c r="ED308" s="280"/>
      <c r="EE308" s="280"/>
      <c r="EF308" s="280"/>
      <c r="EG308" s="280"/>
      <c r="EH308" s="280"/>
      <c r="EI308" s="280"/>
      <c r="EJ308" s="280"/>
      <c r="EK308" s="280"/>
      <c r="EL308" s="280"/>
      <c r="EM308" s="280"/>
      <c r="EN308" s="280"/>
      <c r="EO308" s="280"/>
      <c r="EP308" s="521"/>
      <c r="EQ308" s="521"/>
      <c r="ER308" s="521"/>
      <c r="ES308" s="521"/>
      <c r="ET308" s="521"/>
      <c r="EU308" s="521"/>
      <c r="EV308" s="521"/>
      <c r="EW308" s="521"/>
      <c r="EX308" s="521"/>
      <c r="EY308" s="521"/>
      <c r="EZ308" s="521"/>
      <c r="FA308" s="521"/>
      <c r="FB308" s="521"/>
      <c r="FC308" s="521"/>
      <c r="FD308" s="521"/>
      <c r="FE308" s="521"/>
      <c r="FF308" s="521"/>
      <c r="FG308" s="521"/>
      <c r="FH308" s="567"/>
      <c r="FI308" s="567"/>
      <c r="FJ308" s="567"/>
      <c r="FK308" s="567"/>
      <c r="FL308" s="567"/>
      <c r="FM308" s="567"/>
      <c r="FN308" s="567"/>
      <c r="FO308" s="567"/>
    </row>
    <row r="309" spans="1:171" s="568" customFormat="1" ht="13.9" customHeight="1">
      <c r="A309" s="566"/>
      <c r="B309" s="566"/>
      <c r="C309" s="566"/>
      <c r="D309" s="569"/>
      <c r="E309" s="570"/>
      <c r="F309" s="571"/>
      <c r="G309" s="571"/>
      <c r="H309" s="571"/>
      <c r="I309" s="571"/>
      <c r="J309" s="571"/>
      <c r="K309" s="572"/>
      <c r="L309" s="569"/>
      <c r="M309" s="569"/>
      <c r="N309" s="569"/>
      <c r="O309" s="569"/>
      <c r="P309" s="566"/>
      <c r="Q309" s="566"/>
      <c r="R309" s="566"/>
      <c r="S309" s="566"/>
      <c r="T309" s="566"/>
      <c r="U309" s="566"/>
      <c r="V309" s="566"/>
      <c r="W309" s="566"/>
      <c r="X309" s="553"/>
      <c r="Y309" s="553"/>
      <c r="Z309" s="553"/>
      <c r="AA309" s="554"/>
      <c r="AB309" s="550"/>
      <c r="AC309" s="550"/>
      <c r="AD309" s="550"/>
      <c r="AE309" s="307"/>
      <c r="AF309" s="307"/>
      <c r="AG309" s="307"/>
      <c r="AH309" s="307"/>
      <c r="AI309" s="307"/>
      <c r="AJ309" s="307"/>
      <c r="AK309" s="307"/>
      <c r="AL309" s="307"/>
      <c r="AM309" s="307"/>
      <c r="AN309" s="307"/>
      <c r="AO309" s="307"/>
      <c r="AP309" s="307"/>
      <c r="AQ309" s="307"/>
      <c r="AR309" s="307"/>
      <c r="AS309" s="307"/>
      <c r="AT309" s="307"/>
      <c r="AU309" s="307"/>
      <c r="AV309" s="307"/>
      <c r="AW309" s="307"/>
      <c r="AX309" s="307"/>
      <c r="AY309" s="307"/>
      <c r="AZ309" s="307"/>
      <c r="BA309" s="307"/>
      <c r="BB309" s="307"/>
      <c r="BC309" s="307"/>
      <c r="BD309" s="307"/>
      <c r="BE309" s="307"/>
      <c r="BF309" s="307"/>
      <c r="BG309" s="307"/>
      <c r="BH309" s="307"/>
      <c r="BI309" s="307"/>
      <c r="BJ309" s="307"/>
      <c r="BK309" s="307"/>
      <c r="BL309" s="307"/>
      <c r="BM309" s="307"/>
      <c r="BN309" s="307"/>
      <c r="BO309" s="307"/>
      <c r="BP309" s="307"/>
      <c r="BQ309" s="307"/>
      <c r="BR309" s="307"/>
      <c r="BS309" s="307"/>
      <c r="BT309" s="307"/>
      <c r="BU309" s="307"/>
      <c r="BV309" s="307"/>
      <c r="BW309" s="307"/>
      <c r="BX309" s="307"/>
      <c r="BY309" s="307"/>
      <c r="BZ309" s="307"/>
      <c r="CA309" s="307"/>
      <c r="CB309" s="307"/>
      <c r="CC309" s="307"/>
      <c r="CD309" s="307"/>
      <c r="CE309" s="307"/>
      <c r="CF309" s="307"/>
      <c r="CG309" s="307"/>
      <c r="CH309" s="307"/>
      <c r="CI309" s="307"/>
      <c r="CJ309" s="307"/>
      <c r="CK309" s="307"/>
      <c r="CL309" s="307"/>
      <c r="CM309" s="307"/>
      <c r="CN309" s="307"/>
      <c r="CO309" s="307"/>
      <c r="CP309" s="307"/>
      <c r="CQ309" s="307"/>
      <c r="CR309" s="307"/>
      <c r="CS309" s="307"/>
      <c r="CT309" s="307"/>
      <c r="CU309" s="307"/>
      <c r="CV309" s="307"/>
      <c r="CW309" s="307"/>
      <c r="CX309" s="307"/>
      <c r="CY309" s="307"/>
      <c r="CZ309" s="307"/>
      <c r="DA309" s="307"/>
      <c r="DB309" s="280"/>
      <c r="DC309" s="280"/>
      <c r="DD309" s="280"/>
      <c r="DE309" s="280"/>
      <c r="DF309" s="280"/>
      <c r="DG309" s="280"/>
      <c r="DH309" s="280"/>
      <c r="DI309" s="280"/>
      <c r="DJ309" s="280"/>
      <c r="DK309" s="280"/>
      <c r="DL309" s="280"/>
      <c r="DM309" s="280"/>
      <c r="DN309" s="280"/>
      <c r="DO309" s="280"/>
      <c r="DP309" s="280"/>
      <c r="DQ309" s="280"/>
      <c r="DR309" s="280"/>
      <c r="DS309" s="280"/>
      <c r="DT309" s="280"/>
      <c r="DU309" s="280"/>
      <c r="DV309" s="280"/>
      <c r="DW309" s="280"/>
      <c r="DX309" s="280"/>
      <c r="DY309" s="280"/>
      <c r="DZ309" s="280"/>
      <c r="EA309" s="280"/>
      <c r="EB309" s="280"/>
      <c r="EC309" s="280"/>
      <c r="ED309" s="280"/>
      <c r="EE309" s="280"/>
      <c r="EF309" s="280"/>
      <c r="EG309" s="280"/>
      <c r="EH309" s="280"/>
      <c r="EI309" s="280"/>
      <c r="EJ309" s="280"/>
      <c r="EK309" s="280"/>
      <c r="EL309" s="280"/>
      <c r="EM309" s="280"/>
      <c r="EN309" s="280"/>
      <c r="EO309" s="280"/>
      <c r="EP309" s="521"/>
      <c r="EQ309" s="521"/>
      <c r="ER309" s="521"/>
      <c r="ES309" s="521"/>
      <c r="ET309" s="521"/>
      <c r="EU309" s="521"/>
      <c r="EV309" s="521"/>
      <c r="EW309" s="521"/>
      <c r="EX309" s="521"/>
      <c r="EY309" s="521"/>
      <c r="EZ309" s="521"/>
      <c r="FA309" s="521"/>
      <c r="FB309" s="521"/>
      <c r="FC309" s="521"/>
      <c r="FD309" s="521"/>
      <c r="FE309" s="521"/>
      <c r="FF309" s="521"/>
      <c r="FG309" s="521"/>
      <c r="FH309" s="567"/>
      <c r="FI309" s="567"/>
      <c r="FJ309" s="567"/>
      <c r="FK309" s="567"/>
      <c r="FL309" s="567"/>
      <c r="FM309" s="567"/>
      <c r="FN309" s="567"/>
      <c r="FO309" s="567"/>
    </row>
    <row r="310" spans="1:171" s="568" customFormat="1" ht="13.9" customHeight="1">
      <c r="A310" s="566"/>
      <c r="B310" s="566"/>
      <c r="C310" s="566"/>
      <c r="D310" s="569"/>
      <c r="E310" s="570"/>
      <c r="F310" s="571"/>
      <c r="G310" s="571"/>
      <c r="H310" s="571"/>
      <c r="I310" s="571"/>
      <c r="J310" s="571"/>
      <c r="K310" s="572"/>
      <c r="L310" s="569"/>
      <c r="M310" s="569"/>
      <c r="N310" s="569"/>
      <c r="O310" s="569"/>
      <c r="P310" s="566"/>
      <c r="Q310" s="566"/>
      <c r="R310" s="566"/>
      <c r="S310" s="566"/>
      <c r="T310" s="566"/>
      <c r="U310" s="566"/>
      <c r="V310" s="566"/>
      <c r="W310" s="566"/>
      <c r="X310" s="553"/>
      <c r="Y310" s="553"/>
      <c r="Z310" s="553"/>
      <c r="AA310" s="554"/>
      <c r="AB310" s="550"/>
      <c r="AC310" s="550"/>
      <c r="AD310" s="550"/>
      <c r="AE310" s="307"/>
      <c r="AF310" s="307"/>
      <c r="AG310" s="307"/>
      <c r="AH310" s="307"/>
      <c r="AI310" s="307"/>
      <c r="AJ310" s="307"/>
      <c r="AK310" s="307"/>
      <c r="AL310" s="307"/>
      <c r="AM310" s="307"/>
      <c r="AN310" s="307"/>
      <c r="AO310" s="307"/>
      <c r="AP310" s="307"/>
      <c r="AQ310" s="307"/>
      <c r="AR310" s="307"/>
      <c r="AS310" s="307"/>
      <c r="AT310" s="307"/>
      <c r="AU310" s="307"/>
      <c r="AV310" s="307"/>
      <c r="AW310" s="307"/>
      <c r="AX310" s="307"/>
      <c r="AY310" s="307"/>
      <c r="AZ310" s="307"/>
      <c r="BA310" s="307"/>
      <c r="BB310" s="307"/>
      <c r="BC310" s="307"/>
      <c r="BD310" s="307"/>
      <c r="BE310" s="307"/>
      <c r="BF310" s="307"/>
      <c r="BG310" s="307"/>
      <c r="BH310" s="307"/>
      <c r="BI310" s="307"/>
      <c r="BJ310" s="307"/>
      <c r="BK310" s="307"/>
      <c r="BL310" s="307"/>
      <c r="BM310" s="307"/>
      <c r="BN310" s="307"/>
      <c r="BO310" s="307"/>
      <c r="BP310" s="307"/>
      <c r="BQ310" s="307"/>
      <c r="BR310" s="307"/>
      <c r="BS310" s="307"/>
      <c r="BT310" s="307"/>
      <c r="BU310" s="307"/>
      <c r="BV310" s="307"/>
      <c r="BW310" s="307"/>
      <c r="BX310" s="307"/>
      <c r="BY310" s="307"/>
      <c r="BZ310" s="307"/>
      <c r="CA310" s="307"/>
      <c r="CB310" s="307"/>
      <c r="CC310" s="307"/>
      <c r="CD310" s="307"/>
      <c r="CE310" s="307"/>
      <c r="CF310" s="307"/>
      <c r="CG310" s="307"/>
      <c r="CH310" s="307"/>
      <c r="CI310" s="307"/>
      <c r="CJ310" s="307"/>
      <c r="CK310" s="307"/>
      <c r="CL310" s="307"/>
      <c r="CM310" s="307"/>
      <c r="CN310" s="307"/>
      <c r="CO310" s="307"/>
      <c r="CP310" s="307"/>
      <c r="CQ310" s="307"/>
      <c r="CR310" s="307"/>
      <c r="CS310" s="307"/>
      <c r="CT310" s="307"/>
      <c r="CU310" s="307"/>
      <c r="CV310" s="307"/>
      <c r="CW310" s="307"/>
      <c r="CX310" s="307"/>
      <c r="CY310" s="307"/>
      <c r="CZ310" s="307"/>
      <c r="DA310" s="307"/>
      <c r="DB310" s="280"/>
      <c r="DC310" s="280"/>
      <c r="DD310" s="280"/>
      <c r="DE310" s="280"/>
      <c r="DF310" s="280"/>
      <c r="DG310" s="280"/>
      <c r="DH310" s="280"/>
      <c r="DI310" s="280"/>
      <c r="DJ310" s="280"/>
      <c r="DK310" s="280"/>
      <c r="DL310" s="280"/>
      <c r="DM310" s="280"/>
      <c r="DN310" s="280"/>
      <c r="DO310" s="280"/>
      <c r="DP310" s="280"/>
      <c r="DQ310" s="280"/>
      <c r="DR310" s="280"/>
      <c r="DS310" s="280"/>
      <c r="DT310" s="280"/>
      <c r="DU310" s="280"/>
      <c r="DV310" s="280"/>
      <c r="DW310" s="280"/>
      <c r="DX310" s="280"/>
      <c r="DY310" s="280"/>
      <c r="DZ310" s="280"/>
      <c r="EA310" s="280"/>
      <c r="EB310" s="280"/>
      <c r="EC310" s="280"/>
      <c r="ED310" s="280"/>
      <c r="EE310" s="280"/>
      <c r="EF310" s="280"/>
      <c r="EG310" s="280"/>
      <c r="EH310" s="280"/>
      <c r="EI310" s="280"/>
      <c r="EJ310" s="280"/>
      <c r="EK310" s="280"/>
      <c r="EL310" s="280"/>
      <c r="EM310" s="280"/>
      <c r="EN310" s="280"/>
      <c r="EO310" s="280"/>
      <c r="EP310" s="521"/>
      <c r="EQ310" s="521"/>
      <c r="ER310" s="521"/>
      <c r="ES310" s="521"/>
      <c r="ET310" s="521"/>
      <c r="EU310" s="521"/>
      <c r="EV310" s="521"/>
      <c r="EW310" s="521"/>
      <c r="EX310" s="521"/>
      <c r="EY310" s="521"/>
      <c r="EZ310" s="521"/>
      <c r="FA310" s="521"/>
      <c r="FB310" s="521"/>
      <c r="FC310" s="521"/>
      <c r="FD310" s="521"/>
      <c r="FE310" s="521"/>
      <c r="FF310" s="521"/>
      <c r="FG310" s="521"/>
      <c r="FH310" s="567"/>
      <c r="FI310" s="567"/>
      <c r="FJ310" s="567"/>
      <c r="FK310" s="567"/>
      <c r="FL310" s="567"/>
      <c r="FM310" s="567"/>
      <c r="FN310" s="567"/>
      <c r="FO310" s="567"/>
    </row>
    <row r="311" spans="1:171" s="568" customFormat="1" ht="13.9" customHeight="1">
      <c r="A311" s="566"/>
      <c r="B311" s="566"/>
      <c r="C311" s="566"/>
      <c r="D311" s="569"/>
      <c r="E311" s="570"/>
      <c r="F311" s="571"/>
      <c r="G311" s="571"/>
      <c r="H311" s="571"/>
      <c r="I311" s="571"/>
      <c r="J311" s="571"/>
      <c r="K311" s="572"/>
      <c r="L311" s="569"/>
      <c r="M311" s="569"/>
      <c r="N311" s="569"/>
      <c r="O311" s="569"/>
      <c r="P311" s="566"/>
      <c r="Q311" s="566"/>
      <c r="R311" s="566"/>
      <c r="S311" s="566"/>
      <c r="T311" s="566"/>
      <c r="U311" s="566"/>
      <c r="V311" s="566"/>
      <c r="W311" s="566"/>
      <c r="X311" s="553"/>
      <c r="Y311" s="553"/>
      <c r="Z311" s="553"/>
      <c r="AA311" s="554"/>
      <c r="AB311" s="550"/>
      <c r="AC311" s="550"/>
      <c r="AD311" s="550"/>
      <c r="AE311" s="307"/>
      <c r="AF311" s="307"/>
      <c r="AG311" s="307"/>
      <c r="AH311" s="307"/>
      <c r="AI311" s="307"/>
      <c r="AJ311" s="307"/>
      <c r="AK311" s="307"/>
      <c r="AL311" s="307"/>
      <c r="AM311" s="307"/>
      <c r="AN311" s="307"/>
      <c r="AO311" s="307"/>
      <c r="AP311" s="307"/>
      <c r="AQ311" s="307"/>
      <c r="AR311" s="307"/>
      <c r="AS311" s="307"/>
      <c r="AT311" s="307"/>
      <c r="AU311" s="307"/>
      <c r="AV311" s="307"/>
      <c r="AW311" s="307"/>
      <c r="AX311" s="307"/>
      <c r="AY311" s="307"/>
      <c r="AZ311" s="307"/>
      <c r="BA311" s="307"/>
      <c r="BB311" s="307"/>
      <c r="BC311" s="307"/>
      <c r="BD311" s="307"/>
      <c r="BE311" s="307"/>
      <c r="BF311" s="307"/>
      <c r="BG311" s="307"/>
      <c r="BH311" s="307"/>
      <c r="BI311" s="307"/>
      <c r="BJ311" s="307"/>
      <c r="BK311" s="307"/>
      <c r="BL311" s="307"/>
      <c r="BM311" s="307"/>
      <c r="BN311" s="307"/>
      <c r="BO311" s="307"/>
      <c r="BP311" s="307"/>
      <c r="BQ311" s="307"/>
      <c r="BR311" s="307"/>
      <c r="BS311" s="307"/>
      <c r="BT311" s="307"/>
      <c r="BU311" s="307"/>
      <c r="BV311" s="307"/>
      <c r="BW311" s="307"/>
      <c r="BX311" s="307"/>
      <c r="BY311" s="307"/>
      <c r="BZ311" s="307"/>
      <c r="CA311" s="307"/>
      <c r="CB311" s="307"/>
      <c r="CC311" s="307"/>
      <c r="CD311" s="307"/>
      <c r="CE311" s="307"/>
      <c r="CF311" s="307"/>
      <c r="CG311" s="307"/>
      <c r="CH311" s="307"/>
      <c r="CI311" s="307"/>
      <c r="CJ311" s="307"/>
      <c r="CK311" s="307"/>
      <c r="CL311" s="307"/>
      <c r="CM311" s="307"/>
      <c r="CN311" s="307"/>
      <c r="CO311" s="307"/>
      <c r="CP311" s="307"/>
      <c r="CQ311" s="307"/>
      <c r="CR311" s="307"/>
      <c r="CS311" s="307"/>
      <c r="CT311" s="307"/>
      <c r="CU311" s="307"/>
      <c r="CV311" s="307"/>
      <c r="CW311" s="307"/>
      <c r="CX311" s="307"/>
      <c r="CY311" s="307"/>
      <c r="CZ311" s="307"/>
      <c r="DA311" s="307"/>
      <c r="DB311" s="280"/>
      <c r="DC311" s="280"/>
      <c r="DD311" s="280"/>
      <c r="DE311" s="280"/>
      <c r="DF311" s="280"/>
      <c r="DG311" s="280"/>
      <c r="DH311" s="280"/>
      <c r="DI311" s="280"/>
      <c r="DJ311" s="280"/>
      <c r="DK311" s="280"/>
      <c r="DL311" s="280"/>
      <c r="DM311" s="280"/>
      <c r="DN311" s="280"/>
      <c r="DO311" s="280"/>
      <c r="DP311" s="280"/>
      <c r="DQ311" s="280"/>
      <c r="DR311" s="280"/>
      <c r="DS311" s="280"/>
      <c r="DT311" s="280"/>
      <c r="DU311" s="280"/>
      <c r="DV311" s="280"/>
      <c r="DW311" s="280"/>
      <c r="DX311" s="280"/>
      <c r="DY311" s="280"/>
      <c r="DZ311" s="280"/>
      <c r="EA311" s="280"/>
      <c r="EB311" s="280"/>
      <c r="EC311" s="280"/>
      <c r="ED311" s="280"/>
      <c r="EE311" s="280"/>
      <c r="EF311" s="280"/>
      <c r="EG311" s="280"/>
      <c r="EH311" s="280"/>
      <c r="EI311" s="280"/>
      <c r="EJ311" s="280"/>
      <c r="EK311" s="280"/>
      <c r="EL311" s="280"/>
      <c r="EM311" s="280"/>
      <c r="EN311" s="280"/>
      <c r="EO311" s="280"/>
      <c r="EP311" s="521"/>
      <c r="EQ311" s="521"/>
      <c r="ER311" s="521"/>
      <c r="ES311" s="521"/>
      <c r="ET311" s="521"/>
      <c r="EU311" s="521"/>
      <c r="EV311" s="521"/>
      <c r="EW311" s="521"/>
      <c r="EX311" s="521"/>
      <c r="EY311" s="521"/>
      <c r="EZ311" s="521"/>
      <c r="FA311" s="521"/>
      <c r="FB311" s="521"/>
      <c r="FC311" s="521"/>
      <c r="FD311" s="521"/>
      <c r="FE311" s="521"/>
      <c r="FF311" s="521"/>
      <c r="FG311" s="521"/>
      <c r="FH311" s="567"/>
      <c r="FI311" s="567"/>
      <c r="FJ311" s="567"/>
      <c r="FK311" s="567"/>
      <c r="FL311" s="567"/>
      <c r="FM311" s="567"/>
      <c r="FN311" s="567"/>
      <c r="FO311" s="567"/>
    </row>
    <row r="312" spans="1:171" s="568" customFormat="1" ht="13.9" customHeight="1">
      <c r="A312" s="566"/>
      <c r="B312" s="566"/>
      <c r="C312" s="566"/>
      <c r="D312" s="569"/>
      <c r="E312" s="570"/>
      <c r="F312" s="571"/>
      <c r="G312" s="571"/>
      <c r="H312" s="571"/>
      <c r="I312" s="571"/>
      <c r="J312" s="571"/>
      <c r="K312" s="572"/>
      <c r="L312" s="569"/>
      <c r="M312" s="569"/>
      <c r="N312" s="569"/>
      <c r="O312" s="569"/>
      <c r="P312" s="566"/>
      <c r="Q312" s="566"/>
      <c r="R312" s="566"/>
      <c r="S312" s="566"/>
      <c r="T312" s="566"/>
      <c r="U312" s="566"/>
      <c r="V312" s="566"/>
      <c r="W312" s="566"/>
      <c r="X312" s="553"/>
      <c r="Y312" s="553"/>
      <c r="Z312" s="553"/>
      <c r="AA312" s="554"/>
      <c r="AB312" s="550"/>
      <c r="AC312" s="550"/>
      <c r="AD312" s="550"/>
      <c r="AE312" s="307"/>
      <c r="AF312" s="307"/>
      <c r="AG312" s="307"/>
      <c r="AH312" s="307"/>
      <c r="AI312" s="307"/>
      <c r="AJ312" s="307"/>
      <c r="AK312" s="307"/>
      <c r="AL312" s="307"/>
      <c r="AM312" s="307"/>
      <c r="AN312" s="307"/>
      <c r="AO312" s="307"/>
      <c r="AP312" s="307"/>
      <c r="AQ312" s="307"/>
      <c r="AR312" s="307"/>
      <c r="AS312" s="307"/>
      <c r="AT312" s="307"/>
      <c r="AU312" s="307"/>
      <c r="AV312" s="307"/>
      <c r="AW312" s="307"/>
      <c r="AX312" s="307"/>
      <c r="AY312" s="307"/>
      <c r="AZ312" s="307"/>
      <c r="BA312" s="307"/>
      <c r="BB312" s="307"/>
      <c r="BC312" s="307"/>
      <c r="BD312" s="307"/>
      <c r="BE312" s="307"/>
      <c r="BF312" s="307"/>
      <c r="BG312" s="307"/>
      <c r="BH312" s="307"/>
      <c r="BI312" s="307"/>
      <c r="BJ312" s="307"/>
      <c r="BK312" s="307"/>
      <c r="BL312" s="307"/>
      <c r="BM312" s="307"/>
      <c r="BN312" s="307"/>
      <c r="BO312" s="307"/>
      <c r="BP312" s="307"/>
      <c r="BQ312" s="307"/>
      <c r="BR312" s="307"/>
      <c r="BS312" s="307"/>
      <c r="BT312" s="307"/>
      <c r="BU312" s="307"/>
      <c r="BV312" s="307"/>
      <c r="BW312" s="307"/>
      <c r="BX312" s="307"/>
      <c r="BY312" s="307"/>
      <c r="BZ312" s="307"/>
      <c r="CA312" s="307"/>
      <c r="CB312" s="307"/>
      <c r="CC312" s="307"/>
      <c r="CD312" s="307"/>
      <c r="CE312" s="307"/>
      <c r="CF312" s="307"/>
      <c r="CG312" s="307"/>
      <c r="CH312" s="307"/>
      <c r="CI312" s="307"/>
      <c r="CJ312" s="307"/>
      <c r="CK312" s="307"/>
      <c r="CL312" s="307"/>
      <c r="CM312" s="307"/>
      <c r="CN312" s="307"/>
      <c r="CO312" s="307"/>
      <c r="CP312" s="307"/>
      <c r="CQ312" s="307"/>
      <c r="CR312" s="307"/>
      <c r="CS312" s="307"/>
      <c r="CT312" s="307"/>
      <c r="CU312" s="307"/>
      <c r="CV312" s="307"/>
      <c r="CW312" s="307"/>
      <c r="CX312" s="307"/>
      <c r="CY312" s="307"/>
      <c r="CZ312" s="307"/>
      <c r="DA312" s="307"/>
      <c r="DB312" s="280"/>
      <c r="DC312" s="280"/>
      <c r="DD312" s="280"/>
      <c r="DE312" s="280"/>
      <c r="DF312" s="280"/>
      <c r="DG312" s="280"/>
      <c r="DH312" s="280"/>
      <c r="DI312" s="280"/>
      <c r="DJ312" s="280"/>
      <c r="DK312" s="280"/>
      <c r="DL312" s="280"/>
      <c r="DM312" s="280"/>
      <c r="DN312" s="280"/>
      <c r="DO312" s="280"/>
      <c r="DP312" s="280"/>
      <c r="DQ312" s="280"/>
      <c r="DR312" s="280"/>
      <c r="DS312" s="280"/>
      <c r="DT312" s="280"/>
      <c r="DU312" s="280"/>
      <c r="DV312" s="280"/>
      <c r="DW312" s="280"/>
      <c r="DX312" s="280"/>
      <c r="DY312" s="280"/>
      <c r="DZ312" s="280"/>
      <c r="EA312" s="280"/>
      <c r="EB312" s="280"/>
      <c r="EC312" s="280"/>
      <c r="ED312" s="280"/>
      <c r="EE312" s="280"/>
      <c r="EF312" s="280"/>
      <c r="EG312" s="280"/>
      <c r="EH312" s="280"/>
      <c r="EI312" s="280"/>
      <c r="EJ312" s="280"/>
      <c r="EK312" s="280"/>
      <c r="EL312" s="280"/>
      <c r="EM312" s="280"/>
      <c r="EN312" s="280"/>
      <c r="EO312" s="280"/>
      <c r="EP312" s="521"/>
      <c r="EQ312" s="521"/>
      <c r="ER312" s="521"/>
      <c r="ES312" s="521"/>
      <c r="ET312" s="521"/>
      <c r="EU312" s="521"/>
      <c r="EV312" s="521"/>
      <c r="EW312" s="521"/>
      <c r="EX312" s="521"/>
      <c r="EY312" s="521"/>
      <c r="EZ312" s="521"/>
      <c r="FA312" s="521"/>
      <c r="FB312" s="521"/>
      <c r="FC312" s="521"/>
      <c r="FD312" s="521"/>
      <c r="FE312" s="521"/>
      <c r="FF312" s="521"/>
      <c r="FG312" s="521"/>
      <c r="FH312" s="567"/>
      <c r="FI312" s="567"/>
      <c r="FJ312" s="567"/>
      <c r="FK312" s="567"/>
      <c r="FL312" s="567"/>
      <c r="FM312" s="567"/>
      <c r="FN312" s="567"/>
      <c r="FO312" s="567"/>
    </row>
    <row r="313" spans="1:171" s="568" customFormat="1" ht="13.9" customHeight="1">
      <c r="A313" s="566"/>
      <c r="B313" s="566"/>
      <c r="C313" s="566"/>
      <c r="D313" s="569"/>
      <c r="E313" s="570"/>
      <c r="F313" s="571"/>
      <c r="G313" s="571"/>
      <c r="H313" s="571"/>
      <c r="I313" s="571"/>
      <c r="J313" s="571"/>
      <c r="K313" s="572"/>
      <c r="L313" s="569"/>
      <c r="M313" s="569"/>
      <c r="N313" s="569"/>
      <c r="O313" s="569"/>
      <c r="P313" s="566"/>
      <c r="Q313" s="566"/>
      <c r="R313" s="566"/>
      <c r="S313" s="566"/>
      <c r="T313" s="566"/>
      <c r="U313" s="566"/>
      <c r="V313" s="566"/>
      <c r="W313" s="566"/>
      <c r="X313" s="553"/>
      <c r="Y313" s="553"/>
      <c r="Z313" s="553"/>
      <c r="AA313" s="554"/>
      <c r="AB313" s="550"/>
      <c r="AC313" s="550"/>
      <c r="AD313" s="550"/>
      <c r="AE313" s="307"/>
      <c r="AF313" s="307"/>
      <c r="AG313" s="307"/>
      <c r="AH313" s="307"/>
      <c r="AI313" s="307"/>
      <c r="AJ313" s="307"/>
      <c r="AK313" s="307"/>
      <c r="AL313" s="307"/>
      <c r="AM313" s="307"/>
      <c r="AN313" s="307"/>
      <c r="AO313" s="307"/>
      <c r="AP313" s="307"/>
      <c r="AQ313" s="307"/>
      <c r="AR313" s="307"/>
      <c r="AS313" s="307"/>
      <c r="AT313" s="307"/>
      <c r="AU313" s="307"/>
      <c r="AV313" s="307"/>
      <c r="AW313" s="307"/>
      <c r="AX313" s="307"/>
      <c r="AY313" s="307"/>
      <c r="AZ313" s="307"/>
      <c r="BA313" s="307"/>
      <c r="BB313" s="307"/>
      <c r="BC313" s="307"/>
      <c r="BD313" s="307"/>
      <c r="BE313" s="307"/>
      <c r="BF313" s="307"/>
      <c r="BG313" s="307"/>
      <c r="BH313" s="307"/>
      <c r="BI313" s="307"/>
      <c r="BJ313" s="307"/>
      <c r="BK313" s="307"/>
      <c r="BL313" s="307"/>
      <c r="BM313" s="307"/>
      <c r="BN313" s="307"/>
      <c r="BO313" s="307"/>
      <c r="BP313" s="307"/>
      <c r="BQ313" s="307"/>
      <c r="BR313" s="307"/>
      <c r="BS313" s="307"/>
      <c r="BT313" s="307"/>
      <c r="BU313" s="307"/>
      <c r="BV313" s="307"/>
      <c r="BW313" s="307"/>
      <c r="BX313" s="307"/>
      <c r="BY313" s="307"/>
      <c r="BZ313" s="307"/>
      <c r="CA313" s="307"/>
      <c r="CB313" s="307"/>
      <c r="CC313" s="307"/>
      <c r="CD313" s="307"/>
      <c r="CE313" s="307"/>
      <c r="CF313" s="307"/>
      <c r="CG313" s="307"/>
      <c r="CH313" s="307"/>
      <c r="CI313" s="307"/>
      <c r="CJ313" s="307"/>
      <c r="CK313" s="307"/>
      <c r="CL313" s="307"/>
      <c r="CM313" s="307"/>
      <c r="CN313" s="307"/>
      <c r="CO313" s="307"/>
      <c r="CP313" s="307"/>
      <c r="CQ313" s="307"/>
      <c r="CR313" s="307"/>
      <c r="CS313" s="307"/>
      <c r="CT313" s="307"/>
      <c r="CU313" s="307"/>
      <c r="CV313" s="307"/>
      <c r="CW313" s="307"/>
      <c r="CX313" s="307"/>
      <c r="CY313" s="307"/>
      <c r="CZ313" s="307"/>
      <c r="DA313" s="307"/>
      <c r="DB313" s="280"/>
      <c r="DC313" s="280"/>
      <c r="DD313" s="280"/>
      <c r="DE313" s="280"/>
      <c r="DF313" s="280"/>
      <c r="DG313" s="280"/>
      <c r="DH313" s="280"/>
      <c r="DI313" s="280"/>
      <c r="DJ313" s="280"/>
      <c r="DK313" s="280"/>
      <c r="DL313" s="280"/>
      <c r="DM313" s="280"/>
      <c r="DN313" s="280"/>
      <c r="DO313" s="280"/>
      <c r="DP313" s="280"/>
      <c r="DQ313" s="280"/>
      <c r="DR313" s="280"/>
      <c r="DS313" s="280"/>
      <c r="DT313" s="280"/>
      <c r="DU313" s="280"/>
      <c r="DV313" s="280"/>
      <c r="DW313" s="280"/>
      <c r="DX313" s="280"/>
      <c r="DY313" s="280"/>
      <c r="DZ313" s="280"/>
      <c r="EA313" s="280"/>
      <c r="EB313" s="280"/>
      <c r="EC313" s="280"/>
      <c r="ED313" s="280"/>
      <c r="EE313" s="280"/>
      <c r="EF313" s="280"/>
      <c r="EG313" s="280"/>
      <c r="EH313" s="280"/>
      <c r="EI313" s="280"/>
      <c r="EJ313" s="280"/>
      <c r="EK313" s="280"/>
      <c r="EL313" s="280"/>
      <c r="EM313" s="280"/>
      <c r="EN313" s="280"/>
      <c r="EO313" s="280"/>
      <c r="EP313" s="521"/>
      <c r="EQ313" s="521"/>
      <c r="ER313" s="521"/>
      <c r="ES313" s="521"/>
      <c r="ET313" s="521"/>
      <c r="EU313" s="521"/>
      <c r="EV313" s="521"/>
      <c r="EW313" s="521"/>
      <c r="EX313" s="521"/>
      <c r="EY313" s="521"/>
      <c r="EZ313" s="521"/>
      <c r="FA313" s="521"/>
      <c r="FB313" s="521"/>
      <c r="FC313" s="521"/>
      <c r="FD313" s="521"/>
      <c r="FE313" s="521"/>
      <c r="FF313" s="521"/>
      <c r="FG313" s="521"/>
      <c r="FH313" s="567"/>
      <c r="FI313" s="567"/>
      <c r="FJ313" s="567"/>
      <c r="FK313" s="567"/>
      <c r="FL313" s="567"/>
      <c r="FM313" s="567"/>
      <c r="FN313" s="567"/>
      <c r="FO313" s="567"/>
    </row>
    <row r="314" spans="1:171" s="568" customFormat="1" ht="13.9" customHeight="1">
      <c r="A314" s="566"/>
      <c r="B314" s="566"/>
      <c r="C314" s="566"/>
      <c r="D314" s="569"/>
      <c r="E314" s="570"/>
      <c r="F314" s="571"/>
      <c r="G314" s="571"/>
      <c r="H314" s="571"/>
      <c r="I314" s="571"/>
      <c r="J314" s="571"/>
      <c r="K314" s="572"/>
      <c r="L314" s="569"/>
      <c r="M314" s="569"/>
      <c r="N314" s="569"/>
      <c r="O314" s="569"/>
      <c r="P314" s="566"/>
      <c r="Q314" s="566"/>
      <c r="R314" s="566"/>
      <c r="S314" s="566"/>
      <c r="T314" s="566"/>
      <c r="U314" s="566"/>
      <c r="V314" s="566"/>
      <c r="W314" s="566"/>
      <c r="X314" s="553"/>
      <c r="Y314" s="553"/>
      <c r="Z314" s="553"/>
      <c r="AA314" s="554"/>
      <c r="AB314" s="550"/>
      <c r="AC314" s="550"/>
      <c r="AD314" s="550"/>
      <c r="AE314" s="307"/>
      <c r="AF314" s="307"/>
      <c r="AG314" s="307"/>
      <c r="AH314" s="307"/>
      <c r="AI314" s="307"/>
      <c r="AJ314" s="307"/>
      <c r="AK314" s="307"/>
      <c r="AL314" s="307"/>
      <c r="AM314" s="307"/>
      <c r="AN314" s="307"/>
      <c r="AO314" s="307"/>
      <c r="AP314" s="307"/>
      <c r="AQ314" s="307"/>
      <c r="AR314" s="307"/>
      <c r="AS314" s="307"/>
      <c r="AT314" s="307"/>
      <c r="AU314" s="307"/>
      <c r="AV314" s="307"/>
      <c r="AW314" s="307"/>
      <c r="AX314" s="307"/>
      <c r="AY314" s="307"/>
      <c r="AZ314" s="307"/>
      <c r="BA314" s="307"/>
      <c r="BB314" s="307"/>
      <c r="BC314" s="307"/>
      <c r="BD314" s="307"/>
      <c r="BE314" s="307"/>
      <c r="BF314" s="307"/>
      <c r="BG314" s="307"/>
      <c r="BH314" s="307"/>
      <c r="BI314" s="307"/>
      <c r="BJ314" s="307"/>
      <c r="BK314" s="307"/>
      <c r="BL314" s="307"/>
      <c r="BM314" s="307"/>
      <c r="BN314" s="307"/>
      <c r="BO314" s="307"/>
      <c r="BP314" s="307"/>
      <c r="BQ314" s="307"/>
      <c r="BR314" s="307"/>
      <c r="BS314" s="307"/>
      <c r="BT314" s="307"/>
      <c r="BU314" s="307"/>
      <c r="BV314" s="307"/>
      <c r="BW314" s="307"/>
      <c r="BX314" s="307"/>
      <c r="BY314" s="307"/>
      <c r="BZ314" s="307"/>
      <c r="CA314" s="307"/>
      <c r="CB314" s="307"/>
      <c r="CC314" s="307"/>
      <c r="CD314" s="307"/>
      <c r="CE314" s="307"/>
      <c r="CF314" s="307"/>
      <c r="CG314" s="307"/>
      <c r="CH314" s="307"/>
      <c r="CI314" s="307"/>
      <c r="CJ314" s="307"/>
      <c r="CK314" s="307"/>
      <c r="CL314" s="307"/>
      <c r="CM314" s="307"/>
      <c r="CN314" s="307"/>
      <c r="CO314" s="307"/>
      <c r="CP314" s="307"/>
      <c r="CQ314" s="307"/>
      <c r="CR314" s="307"/>
      <c r="CS314" s="307"/>
      <c r="CT314" s="307"/>
      <c r="CU314" s="307"/>
      <c r="CV314" s="307"/>
      <c r="CW314" s="307"/>
      <c r="CX314" s="307"/>
      <c r="CY314" s="307"/>
      <c r="CZ314" s="307"/>
      <c r="DA314" s="307"/>
      <c r="DB314" s="280"/>
      <c r="DC314" s="280"/>
      <c r="DD314" s="280"/>
      <c r="DE314" s="280"/>
      <c r="DF314" s="280"/>
      <c r="DG314" s="280"/>
      <c r="DH314" s="280"/>
      <c r="DI314" s="280"/>
      <c r="DJ314" s="280"/>
      <c r="DK314" s="280"/>
      <c r="DL314" s="280"/>
      <c r="DM314" s="280"/>
      <c r="DN314" s="280"/>
      <c r="DO314" s="280"/>
      <c r="DP314" s="280"/>
      <c r="DQ314" s="280"/>
      <c r="DR314" s="280"/>
      <c r="DS314" s="280"/>
      <c r="DT314" s="280"/>
      <c r="DU314" s="280"/>
      <c r="DV314" s="280"/>
      <c r="DW314" s="280"/>
      <c r="DX314" s="280"/>
      <c r="DY314" s="280"/>
      <c r="DZ314" s="280"/>
      <c r="EA314" s="280"/>
      <c r="EB314" s="280"/>
      <c r="EC314" s="280"/>
      <c r="ED314" s="280"/>
      <c r="EE314" s="280"/>
      <c r="EF314" s="280"/>
      <c r="EG314" s="280"/>
      <c r="EH314" s="280"/>
      <c r="EI314" s="280"/>
      <c r="EJ314" s="280"/>
      <c r="EK314" s="280"/>
      <c r="EL314" s="280"/>
      <c r="EM314" s="280"/>
      <c r="EN314" s="280"/>
      <c r="EO314" s="280"/>
      <c r="EP314" s="521"/>
      <c r="EQ314" s="521"/>
      <c r="ER314" s="521"/>
      <c r="ES314" s="521"/>
      <c r="ET314" s="521"/>
      <c r="EU314" s="521"/>
      <c r="EV314" s="521"/>
      <c r="EW314" s="521"/>
      <c r="EX314" s="521"/>
      <c r="EY314" s="521"/>
      <c r="EZ314" s="521"/>
      <c r="FA314" s="521"/>
      <c r="FB314" s="521"/>
      <c r="FC314" s="521"/>
      <c r="FD314" s="521"/>
      <c r="FE314" s="521"/>
      <c r="FF314" s="521"/>
      <c r="FG314" s="521"/>
      <c r="FH314" s="567"/>
      <c r="FI314" s="567"/>
      <c r="FJ314" s="567"/>
      <c r="FK314" s="567"/>
      <c r="FL314" s="567"/>
      <c r="FM314" s="567"/>
      <c r="FN314" s="567"/>
      <c r="FO314" s="567"/>
    </row>
    <row r="315" spans="1:171" s="568" customFormat="1" ht="13.9" customHeight="1">
      <c r="A315" s="566"/>
      <c r="B315" s="566"/>
      <c r="C315" s="566"/>
      <c r="D315" s="569"/>
      <c r="E315" s="570"/>
      <c r="F315" s="571"/>
      <c r="G315" s="571"/>
      <c r="H315" s="571"/>
      <c r="I315" s="571"/>
      <c r="J315" s="571"/>
      <c r="K315" s="572"/>
      <c r="L315" s="569"/>
      <c r="M315" s="569"/>
      <c r="N315" s="569"/>
      <c r="O315" s="569"/>
      <c r="P315" s="566"/>
      <c r="Q315" s="566"/>
      <c r="R315" s="566"/>
      <c r="S315" s="566"/>
      <c r="T315" s="566"/>
      <c r="U315" s="566"/>
      <c r="V315" s="566"/>
      <c r="W315" s="566"/>
      <c r="X315" s="553"/>
      <c r="Y315" s="553"/>
      <c r="Z315" s="553"/>
      <c r="AA315" s="554"/>
      <c r="AB315" s="550"/>
      <c r="AC315" s="550"/>
      <c r="AD315" s="550"/>
      <c r="AE315" s="307"/>
      <c r="AF315" s="307"/>
      <c r="AG315" s="307"/>
      <c r="AH315" s="307"/>
      <c r="AI315" s="307"/>
      <c r="AJ315" s="307"/>
      <c r="AK315" s="307"/>
      <c r="AL315" s="307"/>
      <c r="AM315" s="307"/>
      <c r="AN315" s="307"/>
      <c r="AO315" s="307"/>
      <c r="AP315" s="307"/>
      <c r="AQ315" s="307"/>
      <c r="AR315" s="307"/>
      <c r="AS315" s="307"/>
      <c r="AT315" s="307"/>
      <c r="AU315" s="307"/>
      <c r="AV315" s="307"/>
      <c r="AW315" s="307"/>
      <c r="AX315" s="307"/>
      <c r="AY315" s="307"/>
      <c r="AZ315" s="307"/>
      <c r="BA315" s="307"/>
      <c r="BB315" s="307"/>
      <c r="BC315" s="307"/>
      <c r="BD315" s="307"/>
      <c r="BE315" s="307"/>
      <c r="BF315" s="307"/>
      <c r="BG315" s="307"/>
      <c r="BH315" s="307"/>
      <c r="BI315" s="307"/>
      <c r="BJ315" s="307"/>
      <c r="BK315" s="307"/>
      <c r="BL315" s="307"/>
      <c r="BM315" s="307"/>
      <c r="BN315" s="307"/>
      <c r="BO315" s="307"/>
      <c r="BP315" s="307"/>
      <c r="BQ315" s="307"/>
      <c r="BR315" s="307"/>
      <c r="BS315" s="307"/>
      <c r="BT315" s="307"/>
      <c r="BU315" s="307"/>
      <c r="BV315" s="307"/>
      <c r="BW315" s="307"/>
      <c r="BX315" s="307"/>
      <c r="BY315" s="307"/>
      <c r="BZ315" s="307"/>
      <c r="CA315" s="307"/>
      <c r="CB315" s="307"/>
      <c r="CC315" s="307"/>
      <c r="CD315" s="307"/>
      <c r="CE315" s="307"/>
      <c r="CF315" s="307"/>
      <c r="CG315" s="307"/>
      <c r="CH315" s="307"/>
      <c r="CI315" s="307"/>
      <c r="CJ315" s="307"/>
      <c r="CK315" s="307"/>
      <c r="CL315" s="307"/>
      <c r="CM315" s="307"/>
      <c r="CN315" s="307"/>
      <c r="CO315" s="307"/>
      <c r="CP315" s="307"/>
      <c r="CQ315" s="307"/>
      <c r="CR315" s="307"/>
      <c r="CS315" s="307"/>
      <c r="CT315" s="307"/>
      <c r="CU315" s="307"/>
      <c r="CV315" s="307"/>
      <c r="CW315" s="307"/>
      <c r="CX315" s="307"/>
      <c r="CY315" s="307"/>
      <c r="CZ315" s="307"/>
      <c r="DA315" s="307"/>
      <c r="DB315" s="280"/>
      <c r="DC315" s="280"/>
      <c r="DD315" s="280"/>
      <c r="DE315" s="280"/>
      <c r="DF315" s="280"/>
      <c r="DG315" s="280"/>
      <c r="DH315" s="280"/>
      <c r="DI315" s="280"/>
      <c r="DJ315" s="280"/>
      <c r="DK315" s="280"/>
      <c r="DL315" s="280"/>
      <c r="DM315" s="280"/>
      <c r="DN315" s="280"/>
      <c r="DO315" s="280"/>
      <c r="DP315" s="280"/>
      <c r="DQ315" s="280"/>
      <c r="DR315" s="280"/>
      <c r="DS315" s="280"/>
      <c r="DT315" s="280"/>
      <c r="DU315" s="280"/>
      <c r="DV315" s="280"/>
      <c r="DW315" s="280"/>
      <c r="DX315" s="280"/>
      <c r="DY315" s="280"/>
      <c r="DZ315" s="280"/>
      <c r="EA315" s="280"/>
      <c r="EB315" s="280"/>
      <c r="EC315" s="280"/>
      <c r="ED315" s="280"/>
      <c r="EE315" s="280"/>
      <c r="EF315" s="280"/>
      <c r="EG315" s="280"/>
      <c r="EH315" s="280"/>
      <c r="EI315" s="280"/>
      <c r="EJ315" s="280"/>
      <c r="EK315" s="280"/>
      <c r="EL315" s="280"/>
      <c r="EM315" s="280"/>
      <c r="EN315" s="280"/>
      <c r="EO315" s="280"/>
      <c r="EP315" s="521"/>
      <c r="EQ315" s="521"/>
      <c r="ER315" s="521"/>
      <c r="ES315" s="521"/>
      <c r="ET315" s="521"/>
      <c r="EU315" s="521"/>
      <c r="EV315" s="521"/>
      <c r="EW315" s="521"/>
      <c r="EX315" s="521"/>
      <c r="EY315" s="521"/>
      <c r="EZ315" s="521"/>
      <c r="FA315" s="521"/>
      <c r="FB315" s="521"/>
      <c r="FC315" s="521"/>
      <c r="FD315" s="521"/>
      <c r="FE315" s="521"/>
      <c r="FF315" s="521"/>
      <c r="FG315" s="521"/>
      <c r="FH315" s="567"/>
      <c r="FI315" s="567"/>
      <c r="FJ315" s="567"/>
      <c r="FK315" s="567"/>
      <c r="FL315" s="567"/>
      <c r="FM315" s="567"/>
      <c r="FN315" s="567"/>
      <c r="FO315" s="567"/>
    </row>
    <row r="316" spans="1:171" s="568" customFormat="1" ht="13.9" customHeight="1">
      <c r="A316" s="566"/>
      <c r="B316" s="566"/>
      <c r="C316" s="566"/>
      <c r="D316" s="569"/>
      <c r="E316" s="570"/>
      <c r="F316" s="571"/>
      <c r="G316" s="571"/>
      <c r="H316" s="571"/>
      <c r="I316" s="571"/>
      <c r="J316" s="571"/>
      <c r="K316" s="572"/>
      <c r="L316" s="569"/>
      <c r="M316" s="569"/>
      <c r="N316" s="569"/>
      <c r="O316" s="569"/>
      <c r="P316" s="566"/>
      <c r="Q316" s="566"/>
      <c r="R316" s="566"/>
      <c r="S316" s="566"/>
      <c r="T316" s="566"/>
      <c r="U316" s="566"/>
      <c r="V316" s="566"/>
      <c r="W316" s="566"/>
      <c r="X316" s="553"/>
      <c r="Y316" s="553"/>
      <c r="Z316" s="553"/>
      <c r="AA316" s="554"/>
      <c r="AB316" s="550"/>
      <c r="AC316" s="550"/>
      <c r="AD316" s="550"/>
      <c r="AE316" s="307"/>
      <c r="AF316" s="307"/>
      <c r="AG316" s="307"/>
      <c r="AH316" s="307"/>
      <c r="AI316" s="307"/>
      <c r="AJ316" s="307"/>
      <c r="AK316" s="307"/>
      <c r="AL316" s="307"/>
      <c r="AM316" s="307"/>
      <c r="AN316" s="307"/>
      <c r="AO316" s="307"/>
      <c r="AP316" s="307"/>
      <c r="AQ316" s="307"/>
      <c r="AR316" s="307"/>
      <c r="AS316" s="307"/>
      <c r="AT316" s="307"/>
      <c r="AU316" s="307"/>
      <c r="AV316" s="307"/>
      <c r="AW316" s="307"/>
      <c r="AX316" s="307"/>
      <c r="AY316" s="307"/>
      <c r="AZ316" s="307"/>
      <c r="BA316" s="307"/>
      <c r="BB316" s="307"/>
      <c r="BC316" s="307"/>
      <c r="BD316" s="307"/>
      <c r="BE316" s="307"/>
      <c r="BF316" s="307"/>
      <c r="BG316" s="307"/>
      <c r="BH316" s="307"/>
      <c r="BI316" s="307"/>
      <c r="BJ316" s="307"/>
      <c r="BK316" s="307"/>
      <c r="BL316" s="307"/>
      <c r="BM316" s="307"/>
      <c r="BN316" s="307"/>
      <c r="BO316" s="307"/>
      <c r="BP316" s="307"/>
      <c r="BQ316" s="307"/>
      <c r="BR316" s="307"/>
      <c r="BS316" s="307"/>
      <c r="BT316" s="307"/>
      <c r="BU316" s="307"/>
      <c r="BV316" s="307"/>
      <c r="BW316" s="307"/>
      <c r="BX316" s="307"/>
      <c r="BY316" s="307"/>
      <c r="BZ316" s="307"/>
      <c r="CA316" s="307"/>
      <c r="CB316" s="307"/>
      <c r="CC316" s="307"/>
      <c r="CD316" s="307"/>
      <c r="CE316" s="307"/>
      <c r="CF316" s="307"/>
      <c r="CG316" s="307"/>
      <c r="CH316" s="307"/>
      <c r="CI316" s="307"/>
      <c r="CJ316" s="307"/>
      <c r="CK316" s="307"/>
      <c r="CL316" s="307"/>
      <c r="CM316" s="307"/>
      <c r="CN316" s="307"/>
      <c r="CO316" s="307"/>
      <c r="CP316" s="307"/>
      <c r="CQ316" s="307"/>
      <c r="CR316" s="307"/>
      <c r="CS316" s="307"/>
      <c r="CT316" s="307"/>
      <c r="CU316" s="307"/>
      <c r="CV316" s="307"/>
      <c r="CW316" s="307"/>
      <c r="CX316" s="307"/>
      <c r="CY316" s="307"/>
      <c r="CZ316" s="307"/>
      <c r="DA316" s="307"/>
      <c r="DB316" s="280"/>
      <c r="DC316" s="280"/>
      <c r="DD316" s="280"/>
      <c r="DE316" s="280"/>
      <c r="DF316" s="280"/>
      <c r="DG316" s="280"/>
      <c r="DH316" s="280"/>
      <c r="DI316" s="280"/>
      <c r="DJ316" s="280"/>
      <c r="DK316" s="280"/>
      <c r="DL316" s="280"/>
      <c r="DM316" s="280"/>
      <c r="DN316" s="280"/>
      <c r="DO316" s="280"/>
      <c r="DP316" s="280"/>
      <c r="DQ316" s="280"/>
      <c r="DR316" s="280"/>
      <c r="DS316" s="280"/>
      <c r="DT316" s="280"/>
      <c r="DU316" s="280"/>
      <c r="DV316" s="280"/>
      <c r="DW316" s="280"/>
      <c r="DX316" s="280"/>
      <c r="DY316" s="280"/>
      <c r="DZ316" s="280"/>
      <c r="EA316" s="280"/>
      <c r="EB316" s="280"/>
      <c r="EC316" s="280"/>
      <c r="ED316" s="280"/>
      <c r="EE316" s="280"/>
      <c r="EF316" s="280"/>
      <c r="EG316" s="280"/>
      <c r="EH316" s="280"/>
      <c r="EI316" s="280"/>
      <c r="EJ316" s="280"/>
      <c r="EK316" s="280"/>
      <c r="EL316" s="280"/>
      <c r="EM316" s="280"/>
      <c r="EN316" s="280"/>
      <c r="EO316" s="280"/>
      <c r="EP316" s="521"/>
      <c r="EQ316" s="521"/>
      <c r="ER316" s="521"/>
      <c r="ES316" s="521"/>
      <c r="ET316" s="521"/>
      <c r="EU316" s="521"/>
      <c r="EV316" s="521"/>
      <c r="EW316" s="521"/>
      <c r="EX316" s="521"/>
      <c r="EY316" s="521"/>
      <c r="EZ316" s="521"/>
      <c r="FA316" s="521"/>
      <c r="FB316" s="521"/>
      <c r="FC316" s="521"/>
      <c r="FD316" s="521"/>
      <c r="FE316" s="521"/>
      <c r="FF316" s="521"/>
      <c r="FG316" s="521"/>
      <c r="FH316" s="567"/>
      <c r="FI316" s="567"/>
      <c r="FJ316" s="567"/>
      <c r="FK316" s="567"/>
      <c r="FL316" s="567"/>
      <c r="FM316" s="567"/>
      <c r="FN316" s="567"/>
      <c r="FO316" s="567"/>
    </row>
    <row r="317" spans="1:171" s="568" customFormat="1" ht="13.9" customHeight="1">
      <c r="A317" s="566"/>
      <c r="B317" s="566"/>
      <c r="C317" s="566"/>
      <c r="D317" s="569"/>
      <c r="E317" s="570"/>
      <c r="F317" s="571"/>
      <c r="G317" s="571"/>
      <c r="H317" s="571"/>
      <c r="I317" s="571"/>
      <c r="J317" s="571"/>
      <c r="K317" s="572"/>
      <c r="L317" s="569"/>
      <c r="M317" s="569"/>
      <c r="N317" s="569"/>
      <c r="O317" s="569"/>
      <c r="P317" s="566"/>
      <c r="Q317" s="566"/>
      <c r="R317" s="566"/>
      <c r="S317" s="566"/>
      <c r="T317" s="566"/>
      <c r="U317" s="566"/>
      <c r="V317" s="566"/>
      <c r="W317" s="566"/>
      <c r="X317" s="553"/>
      <c r="Y317" s="553"/>
      <c r="Z317" s="553"/>
      <c r="AA317" s="554"/>
      <c r="AB317" s="550"/>
      <c r="AC317" s="550"/>
      <c r="AD317" s="550"/>
      <c r="AE317" s="307"/>
      <c r="AF317" s="307"/>
      <c r="AG317" s="307"/>
      <c r="AH317" s="307"/>
      <c r="AI317" s="307"/>
      <c r="AJ317" s="307"/>
      <c r="AK317" s="307"/>
      <c r="AL317" s="307"/>
      <c r="AM317" s="307"/>
      <c r="AN317" s="307"/>
      <c r="AO317" s="307"/>
      <c r="AP317" s="307"/>
      <c r="AQ317" s="307"/>
      <c r="AR317" s="307"/>
      <c r="AS317" s="307"/>
      <c r="AT317" s="307"/>
      <c r="AU317" s="307"/>
      <c r="AV317" s="307"/>
      <c r="AW317" s="307"/>
      <c r="AX317" s="307"/>
      <c r="AY317" s="307"/>
      <c r="AZ317" s="307"/>
      <c r="BA317" s="307"/>
      <c r="BB317" s="307"/>
      <c r="BC317" s="307"/>
      <c r="BD317" s="307"/>
      <c r="BE317" s="307"/>
      <c r="BF317" s="307"/>
      <c r="BG317" s="307"/>
      <c r="BH317" s="307"/>
      <c r="BI317" s="307"/>
      <c r="BJ317" s="307"/>
      <c r="BK317" s="307"/>
      <c r="BL317" s="307"/>
      <c r="BM317" s="307"/>
      <c r="BN317" s="307"/>
      <c r="BO317" s="307"/>
      <c r="BP317" s="307"/>
      <c r="BQ317" s="307"/>
      <c r="BR317" s="307"/>
      <c r="BS317" s="307"/>
      <c r="BT317" s="307"/>
      <c r="BU317" s="307"/>
      <c r="BV317" s="307"/>
      <c r="BW317" s="307"/>
      <c r="BX317" s="307"/>
      <c r="BY317" s="307"/>
      <c r="BZ317" s="307"/>
      <c r="CA317" s="307"/>
      <c r="CB317" s="307"/>
      <c r="CC317" s="307"/>
      <c r="CD317" s="307"/>
      <c r="CE317" s="307"/>
      <c r="CF317" s="307"/>
      <c r="CG317" s="307"/>
      <c r="CH317" s="307"/>
      <c r="CI317" s="307"/>
      <c r="CJ317" s="307"/>
      <c r="CK317" s="307"/>
      <c r="CL317" s="307"/>
      <c r="CM317" s="307"/>
      <c r="CN317" s="307"/>
      <c r="CO317" s="307"/>
      <c r="CP317" s="307"/>
      <c r="CQ317" s="307"/>
      <c r="CR317" s="307"/>
      <c r="CS317" s="307"/>
      <c r="CT317" s="307"/>
      <c r="CU317" s="307"/>
      <c r="CV317" s="307"/>
      <c r="CW317" s="307"/>
      <c r="CX317" s="307"/>
      <c r="CY317" s="307"/>
      <c r="CZ317" s="307"/>
      <c r="DA317" s="307"/>
      <c r="DB317" s="280"/>
      <c r="DC317" s="280"/>
      <c r="DD317" s="280"/>
      <c r="DE317" s="280"/>
      <c r="DF317" s="280"/>
      <c r="DG317" s="280"/>
      <c r="DH317" s="280"/>
      <c r="DI317" s="280"/>
      <c r="DJ317" s="280"/>
      <c r="DK317" s="280"/>
      <c r="DL317" s="280"/>
      <c r="DM317" s="280"/>
      <c r="DN317" s="280"/>
      <c r="DO317" s="280"/>
      <c r="DP317" s="280"/>
      <c r="DQ317" s="280"/>
      <c r="DR317" s="280"/>
      <c r="DS317" s="280"/>
      <c r="DT317" s="280"/>
      <c r="DU317" s="280"/>
      <c r="DV317" s="280"/>
      <c r="DW317" s="280"/>
      <c r="DX317" s="280"/>
      <c r="DY317" s="280"/>
      <c r="DZ317" s="280"/>
      <c r="EA317" s="280"/>
      <c r="EB317" s="280"/>
      <c r="EC317" s="280"/>
      <c r="ED317" s="280"/>
      <c r="EE317" s="280"/>
      <c r="EF317" s="280"/>
      <c r="EG317" s="280"/>
      <c r="EH317" s="280"/>
      <c r="EI317" s="280"/>
      <c r="EJ317" s="280"/>
      <c r="EK317" s="280"/>
      <c r="EL317" s="280"/>
      <c r="EM317" s="280"/>
      <c r="EN317" s="280"/>
      <c r="EO317" s="280"/>
      <c r="EP317" s="521"/>
      <c r="EQ317" s="521"/>
      <c r="ER317" s="521"/>
      <c r="ES317" s="521"/>
      <c r="ET317" s="521"/>
      <c r="EU317" s="521"/>
      <c r="EV317" s="521"/>
      <c r="EW317" s="521"/>
      <c r="EX317" s="521"/>
      <c r="EY317" s="521"/>
      <c r="EZ317" s="521"/>
      <c r="FA317" s="521"/>
      <c r="FB317" s="521"/>
      <c r="FC317" s="521"/>
      <c r="FD317" s="521"/>
      <c r="FE317" s="521"/>
      <c r="FF317" s="521"/>
      <c r="FG317" s="521"/>
      <c r="FH317" s="567"/>
      <c r="FI317" s="567"/>
      <c r="FJ317" s="567"/>
      <c r="FK317" s="567"/>
      <c r="FL317" s="567"/>
      <c r="FM317" s="567"/>
      <c r="FN317" s="567"/>
      <c r="FO317" s="567"/>
    </row>
    <row r="318" spans="1:171" s="568" customFormat="1" ht="13.9" customHeight="1">
      <c r="A318" s="566"/>
      <c r="B318" s="566"/>
      <c r="C318" s="566"/>
      <c r="D318" s="569"/>
      <c r="E318" s="570"/>
      <c r="F318" s="571"/>
      <c r="G318" s="571"/>
      <c r="H318" s="571"/>
      <c r="I318" s="571"/>
      <c r="J318" s="571"/>
      <c r="K318" s="572"/>
      <c r="L318" s="569"/>
      <c r="M318" s="569"/>
      <c r="N318" s="569"/>
      <c r="O318" s="569"/>
      <c r="P318" s="566"/>
      <c r="Q318" s="566"/>
      <c r="R318" s="566"/>
      <c r="S318" s="566"/>
      <c r="T318" s="566"/>
      <c r="U318" s="566"/>
      <c r="V318" s="566"/>
      <c r="W318" s="566"/>
      <c r="X318" s="553"/>
      <c r="Y318" s="553"/>
      <c r="Z318" s="553"/>
      <c r="AA318" s="554"/>
      <c r="AB318" s="550"/>
      <c r="AC318" s="550"/>
      <c r="AD318" s="550"/>
      <c r="AE318" s="307"/>
      <c r="AF318" s="307"/>
      <c r="AG318" s="307"/>
      <c r="AH318" s="307"/>
      <c r="AI318" s="307"/>
      <c r="AJ318" s="307"/>
      <c r="AK318" s="307"/>
      <c r="AL318" s="307"/>
      <c r="AM318" s="307"/>
      <c r="AN318" s="307"/>
      <c r="AO318" s="307"/>
      <c r="AP318" s="307"/>
      <c r="AQ318" s="307"/>
      <c r="AR318" s="307"/>
      <c r="AS318" s="307"/>
      <c r="AT318" s="307"/>
      <c r="AU318" s="307"/>
      <c r="AV318" s="307"/>
      <c r="AW318" s="307"/>
      <c r="AX318" s="307"/>
      <c r="AY318" s="307"/>
      <c r="AZ318" s="307"/>
      <c r="BA318" s="307"/>
      <c r="BB318" s="307"/>
      <c r="BC318" s="307"/>
      <c r="BD318" s="307"/>
      <c r="BE318" s="307"/>
      <c r="BF318" s="307"/>
      <c r="BG318" s="307"/>
      <c r="BH318" s="307"/>
      <c r="BI318" s="307"/>
      <c r="BJ318" s="307"/>
      <c r="BK318" s="307"/>
      <c r="BL318" s="307"/>
      <c r="BM318" s="307"/>
      <c r="BN318" s="307"/>
      <c r="BO318" s="307"/>
      <c r="BP318" s="307"/>
      <c r="BQ318" s="307"/>
      <c r="BR318" s="307"/>
      <c r="BS318" s="307"/>
      <c r="BT318" s="307"/>
      <c r="BU318" s="307"/>
      <c r="BV318" s="307"/>
      <c r="BW318" s="307"/>
      <c r="BX318" s="307"/>
      <c r="BY318" s="307"/>
      <c r="BZ318" s="307"/>
      <c r="CA318" s="307"/>
      <c r="CB318" s="307"/>
      <c r="CC318" s="307"/>
      <c r="CD318" s="307"/>
      <c r="CE318" s="307"/>
      <c r="CF318" s="307"/>
      <c r="CG318" s="307"/>
      <c r="CH318" s="307"/>
      <c r="CI318" s="307"/>
      <c r="CJ318" s="307"/>
      <c r="CK318" s="307"/>
      <c r="CL318" s="307"/>
      <c r="CM318" s="307"/>
      <c r="CN318" s="307"/>
      <c r="CO318" s="307"/>
      <c r="CP318" s="307"/>
      <c r="CQ318" s="307"/>
      <c r="CR318" s="307"/>
      <c r="CS318" s="307"/>
      <c r="CT318" s="307"/>
      <c r="CU318" s="307"/>
      <c r="CV318" s="307"/>
      <c r="CW318" s="307"/>
      <c r="CX318" s="307"/>
      <c r="CY318" s="307"/>
      <c r="CZ318" s="307"/>
      <c r="DA318" s="307"/>
      <c r="DB318" s="280"/>
      <c r="DC318" s="280"/>
      <c r="DD318" s="280"/>
      <c r="DE318" s="280"/>
      <c r="DF318" s="280"/>
      <c r="DG318" s="280"/>
      <c r="DH318" s="280"/>
      <c r="DI318" s="280"/>
      <c r="DJ318" s="280"/>
      <c r="DK318" s="280"/>
      <c r="DL318" s="280"/>
      <c r="DM318" s="280"/>
      <c r="DN318" s="280"/>
      <c r="DO318" s="280"/>
      <c r="DP318" s="280"/>
      <c r="DQ318" s="280"/>
      <c r="DR318" s="280"/>
      <c r="DS318" s="280"/>
      <c r="DT318" s="280"/>
      <c r="DU318" s="280"/>
      <c r="DV318" s="280"/>
      <c r="DW318" s="280"/>
      <c r="DX318" s="280"/>
      <c r="DY318" s="280"/>
      <c r="DZ318" s="280"/>
      <c r="EA318" s="280"/>
      <c r="EB318" s="280"/>
      <c r="EC318" s="280"/>
      <c r="ED318" s="280"/>
      <c r="EE318" s="280"/>
      <c r="EF318" s="280"/>
      <c r="EG318" s="280"/>
      <c r="EH318" s="280"/>
      <c r="EI318" s="280"/>
      <c r="EJ318" s="280"/>
      <c r="EK318" s="280"/>
      <c r="EL318" s="280"/>
      <c r="EM318" s="280"/>
      <c r="EN318" s="280"/>
      <c r="EO318" s="280"/>
      <c r="EP318" s="521"/>
      <c r="EQ318" s="521"/>
      <c r="ER318" s="521"/>
      <c r="ES318" s="521"/>
      <c r="ET318" s="521"/>
      <c r="EU318" s="521"/>
      <c r="EV318" s="521"/>
      <c r="EW318" s="521"/>
      <c r="EX318" s="521"/>
      <c r="EY318" s="521"/>
      <c r="EZ318" s="521"/>
      <c r="FA318" s="521"/>
      <c r="FB318" s="521"/>
      <c r="FC318" s="521"/>
      <c r="FD318" s="521"/>
      <c r="FE318" s="521"/>
      <c r="FF318" s="521"/>
      <c r="FG318" s="521"/>
      <c r="FH318" s="567"/>
      <c r="FI318" s="567"/>
      <c r="FJ318" s="567"/>
      <c r="FK318" s="567"/>
      <c r="FL318" s="567"/>
      <c r="FM318" s="567"/>
      <c r="FN318" s="567"/>
      <c r="FO318" s="567"/>
    </row>
    <row r="319" spans="1:171" s="568" customFormat="1" ht="13.9" customHeight="1">
      <c r="A319" s="566"/>
      <c r="B319" s="566"/>
      <c r="C319" s="566"/>
      <c r="D319" s="569"/>
      <c r="E319" s="570"/>
      <c r="F319" s="571"/>
      <c r="G319" s="571"/>
      <c r="H319" s="571"/>
      <c r="I319" s="571"/>
      <c r="J319" s="571"/>
      <c r="K319" s="572"/>
      <c r="L319" s="569"/>
      <c r="M319" s="569"/>
      <c r="N319" s="569"/>
      <c r="O319" s="569"/>
      <c r="P319" s="566"/>
      <c r="Q319" s="566"/>
      <c r="R319" s="566"/>
      <c r="S319" s="566"/>
      <c r="T319" s="566"/>
      <c r="U319" s="566"/>
      <c r="V319" s="566"/>
      <c r="W319" s="566"/>
      <c r="X319" s="553"/>
      <c r="Y319" s="553"/>
      <c r="Z319" s="553"/>
      <c r="AA319" s="554"/>
      <c r="AB319" s="550"/>
      <c r="AC319" s="550"/>
      <c r="AD319" s="550"/>
      <c r="AE319" s="307"/>
      <c r="AF319" s="307"/>
      <c r="AG319" s="307"/>
      <c r="AH319" s="307"/>
      <c r="AI319" s="307"/>
      <c r="AJ319" s="307"/>
      <c r="AK319" s="307"/>
      <c r="AL319" s="307"/>
      <c r="AM319" s="307"/>
      <c r="AN319" s="307"/>
      <c r="AO319" s="307"/>
      <c r="AP319" s="307"/>
      <c r="AQ319" s="307"/>
      <c r="AR319" s="307"/>
      <c r="AS319" s="307"/>
      <c r="AT319" s="307"/>
      <c r="AU319" s="307"/>
      <c r="AV319" s="307"/>
      <c r="AW319" s="307"/>
      <c r="AX319" s="307"/>
      <c r="AY319" s="307"/>
      <c r="AZ319" s="307"/>
      <c r="BA319" s="307"/>
      <c r="BB319" s="307"/>
      <c r="BC319" s="307"/>
      <c r="BD319" s="307"/>
      <c r="BE319" s="307"/>
      <c r="BF319" s="307"/>
      <c r="BG319" s="307"/>
      <c r="BH319" s="307"/>
      <c r="BI319" s="307"/>
      <c r="BJ319" s="307"/>
      <c r="BK319" s="307"/>
      <c r="BL319" s="307"/>
      <c r="BM319" s="307"/>
      <c r="BN319" s="307"/>
      <c r="BO319" s="307"/>
      <c r="BP319" s="307"/>
      <c r="BQ319" s="307"/>
      <c r="BR319" s="307"/>
      <c r="BS319" s="307"/>
      <c r="BT319" s="307"/>
      <c r="BU319" s="307"/>
      <c r="BV319" s="307"/>
      <c r="BW319" s="307"/>
      <c r="BX319" s="307"/>
      <c r="BY319" s="307"/>
      <c r="BZ319" s="307"/>
      <c r="CA319" s="307"/>
      <c r="CB319" s="307"/>
      <c r="CC319" s="307"/>
      <c r="CD319" s="307"/>
      <c r="CE319" s="307"/>
      <c r="CF319" s="307"/>
      <c r="CG319" s="307"/>
      <c r="CH319" s="307"/>
      <c r="CI319" s="307"/>
      <c r="CJ319" s="307"/>
      <c r="CK319" s="307"/>
      <c r="CL319" s="307"/>
      <c r="CM319" s="307"/>
      <c r="CN319" s="307"/>
      <c r="CO319" s="307"/>
      <c r="CP319" s="307"/>
      <c r="CQ319" s="307"/>
      <c r="CR319" s="307"/>
      <c r="CS319" s="307"/>
      <c r="CT319" s="307"/>
      <c r="CU319" s="307"/>
      <c r="CV319" s="307"/>
      <c r="CW319" s="307"/>
      <c r="CX319" s="307"/>
      <c r="CY319" s="307"/>
      <c r="CZ319" s="307"/>
      <c r="DA319" s="307"/>
      <c r="DB319" s="280"/>
      <c r="DC319" s="280"/>
      <c r="DD319" s="280"/>
      <c r="DE319" s="280"/>
      <c r="DF319" s="280"/>
      <c r="DG319" s="280"/>
      <c r="DH319" s="280"/>
      <c r="DI319" s="280"/>
      <c r="DJ319" s="280"/>
      <c r="DK319" s="280"/>
      <c r="DL319" s="280"/>
      <c r="DM319" s="280"/>
      <c r="DN319" s="280"/>
      <c r="DO319" s="280"/>
      <c r="DP319" s="280"/>
      <c r="DQ319" s="280"/>
      <c r="DR319" s="280"/>
      <c r="DS319" s="280"/>
      <c r="DT319" s="280"/>
      <c r="DU319" s="280"/>
      <c r="DV319" s="280"/>
      <c r="DW319" s="280"/>
      <c r="DX319" s="280"/>
      <c r="DY319" s="280"/>
      <c r="DZ319" s="280"/>
      <c r="EA319" s="280"/>
      <c r="EB319" s="280"/>
      <c r="EC319" s="280"/>
      <c r="ED319" s="280"/>
      <c r="EE319" s="280"/>
      <c r="EF319" s="280"/>
      <c r="EG319" s="280"/>
      <c r="EH319" s="280"/>
      <c r="EI319" s="280"/>
      <c r="EJ319" s="280"/>
      <c r="EK319" s="280"/>
      <c r="EL319" s="280"/>
      <c r="EM319" s="280"/>
      <c r="EN319" s="280"/>
      <c r="EO319" s="280"/>
      <c r="EP319" s="521"/>
      <c r="EQ319" s="521"/>
      <c r="ER319" s="521"/>
      <c r="ES319" s="521"/>
      <c r="ET319" s="521"/>
      <c r="EU319" s="521"/>
      <c r="EV319" s="521"/>
      <c r="EW319" s="521"/>
      <c r="EX319" s="521"/>
      <c r="EY319" s="521"/>
      <c r="EZ319" s="521"/>
      <c r="FA319" s="521"/>
      <c r="FB319" s="521"/>
      <c r="FC319" s="521"/>
      <c r="FD319" s="521"/>
      <c r="FE319" s="521"/>
      <c r="FF319" s="521"/>
      <c r="FG319" s="521"/>
      <c r="FH319" s="567"/>
      <c r="FI319" s="567"/>
      <c r="FJ319" s="567"/>
      <c r="FK319" s="567"/>
      <c r="FL319" s="567"/>
      <c r="FM319" s="567"/>
      <c r="FN319" s="567"/>
      <c r="FO319" s="567"/>
    </row>
    <row r="320" spans="1:171" s="568" customFormat="1" ht="13.9" customHeight="1">
      <c r="A320" s="566"/>
      <c r="B320" s="566"/>
      <c r="C320" s="566"/>
      <c r="D320" s="569"/>
      <c r="E320" s="570"/>
      <c r="F320" s="571"/>
      <c r="G320" s="571"/>
      <c r="H320" s="571"/>
      <c r="I320" s="571"/>
      <c r="J320" s="571"/>
      <c r="K320" s="572"/>
      <c r="L320" s="569"/>
      <c r="M320" s="569"/>
      <c r="N320" s="569"/>
      <c r="O320" s="569"/>
      <c r="P320" s="566"/>
      <c r="Q320" s="566"/>
      <c r="R320" s="566"/>
      <c r="S320" s="566"/>
      <c r="T320" s="566"/>
      <c r="U320" s="566"/>
      <c r="V320" s="566"/>
      <c r="W320" s="566"/>
      <c r="X320" s="553"/>
      <c r="Y320" s="553"/>
      <c r="Z320" s="553"/>
      <c r="AA320" s="554"/>
      <c r="AB320" s="550"/>
      <c r="AC320" s="550"/>
      <c r="AD320" s="550"/>
      <c r="AE320" s="307"/>
      <c r="AF320" s="307"/>
      <c r="AG320" s="307"/>
      <c r="AH320" s="307"/>
      <c r="AI320" s="307"/>
      <c r="AJ320" s="307"/>
      <c r="AK320" s="307"/>
      <c r="AL320" s="307"/>
      <c r="AM320" s="307"/>
      <c r="AN320" s="307"/>
      <c r="AO320" s="307"/>
      <c r="AP320" s="307"/>
      <c r="AQ320" s="307"/>
      <c r="AR320" s="307"/>
      <c r="AS320" s="307"/>
      <c r="AT320" s="307"/>
      <c r="AU320" s="307"/>
      <c r="AV320" s="307"/>
      <c r="AW320" s="307"/>
      <c r="AX320" s="307"/>
      <c r="AY320" s="307"/>
      <c r="AZ320" s="307"/>
      <c r="BA320" s="307"/>
      <c r="BB320" s="307"/>
      <c r="BC320" s="307"/>
      <c r="BD320" s="307"/>
      <c r="BE320" s="307"/>
      <c r="BF320" s="307"/>
      <c r="BG320" s="307"/>
      <c r="BH320" s="307"/>
      <c r="BI320" s="307"/>
      <c r="BJ320" s="307"/>
      <c r="BK320" s="307"/>
      <c r="BL320" s="307"/>
      <c r="BM320" s="307"/>
      <c r="BN320" s="307"/>
      <c r="BO320" s="307"/>
      <c r="BP320" s="307"/>
      <c r="BQ320" s="307"/>
      <c r="BR320" s="307"/>
      <c r="BS320" s="307"/>
      <c r="BT320" s="307"/>
      <c r="BU320" s="307"/>
      <c r="BV320" s="307"/>
      <c r="BW320" s="307"/>
      <c r="BX320" s="307"/>
      <c r="BY320" s="307"/>
      <c r="BZ320" s="307"/>
      <c r="CA320" s="307"/>
      <c r="CB320" s="307"/>
      <c r="CC320" s="307"/>
      <c r="CD320" s="307"/>
      <c r="CE320" s="307"/>
      <c r="CF320" s="307"/>
      <c r="CG320" s="307"/>
      <c r="CH320" s="307"/>
      <c r="CI320" s="307"/>
      <c r="CJ320" s="307"/>
      <c r="CK320" s="307"/>
      <c r="CL320" s="307"/>
      <c r="CM320" s="307"/>
      <c r="CN320" s="307"/>
      <c r="CO320" s="307"/>
      <c r="CP320" s="307"/>
      <c r="CQ320" s="307"/>
      <c r="CR320" s="307"/>
      <c r="CS320" s="307"/>
      <c r="CT320" s="307"/>
      <c r="CU320" s="307"/>
      <c r="CV320" s="307"/>
      <c r="CW320" s="307"/>
      <c r="CX320" s="307"/>
      <c r="CY320" s="307"/>
      <c r="CZ320" s="307"/>
      <c r="DA320" s="307"/>
      <c r="DB320" s="280"/>
      <c r="DC320" s="280"/>
      <c r="DD320" s="280"/>
      <c r="DE320" s="280"/>
      <c r="DF320" s="280"/>
      <c r="DG320" s="280"/>
      <c r="DH320" s="280"/>
      <c r="DI320" s="280"/>
      <c r="DJ320" s="280"/>
      <c r="DK320" s="280"/>
      <c r="DL320" s="280"/>
      <c r="DM320" s="280"/>
      <c r="DN320" s="280"/>
      <c r="DO320" s="280"/>
      <c r="DP320" s="280"/>
      <c r="DQ320" s="280"/>
      <c r="DR320" s="280"/>
      <c r="DS320" s="280"/>
      <c r="DT320" s="280"/>
      <c r="DU320" s="280"/>
      <c r="DV320" s="280"/>
      <c r="DW320" s="280"/>
      <c r="DX320" s="280"/>
      <c r="DY320" s="280"/>
      <c r="DZ320" s="280"/>
      <c r="EA320" s="280"/>
      <c r="EB320" s="280"/>
      <c r="EC320" s="280"/>
      <c r="ED320" s="280"/>
      <c r="EE320" s="280"/>
      <c r="EF320" s="280"/>
      <c r="EG320" s="280"/>
      <c r="EH320" s="280"/>
      <c r="EI320" s="280"/>
      <c r="EJ320" s="280"/>
      <c r="EK320" s="280"/>
      <c r="EL320" s="280"/>
      <c r="EM320" s="280"/>
      <c r="EN320" s="280"/>
      <c r="EO320" s="280"/>
      <c r="EP320" s="521"/>
      <c r="EQ320" s="521"/>
      <c r="ER320" s="521"/>
      <c r="ES320" s="521"/>
      <c r="ET320" s="521"/>
      <c r="EU320" s="521"/>
      <c r="EV320" s="521"/>
      <c r="EW320" s="521"/>
      <c r="EX320" s="521"/>
      <c r="EY320" s="521"/>
      <c r="EZ320" s="521"/>
      <c r="FA320" s="521"/>
      <c r="FB320" s="521"/>
      <c r="FC320" s="521"/>
      <c r="FD320" s="521"/>
      <c r="FE320" s="521"/>
      <c r="FF320" s="521"/>
      <c r="FG320" s="521"/>
      <c r="FH320" s="567"/>
      <c r="FI320" s="567"/>
      <c r="FJ320" s="567"/>
      <c r="FK320" s="567"/>
      <c r="FL320" s="567"/>
      <c r="FM320" s="567"/>
      <c r="FN320" s="567"/>
      <c r="FO320" s="567"/>
    </row>
    <row r="321" spans="1:171" s="568" customFormat="1" ht="13.9" customHeight="1">
      <c r="A321" s="566"/>
      <c r="B321" s="566"/>
      <c r="C321" s="566"/>
      <c r="D321" s="569"/>
      <c r="E321" s="570"/>
      <c r="F321" s="571"/>
      <c r="G321" s="571"/>
      <c r="H321" s="571"/>
      <c r="I321" s="571"/>
      <c r="J321" s="571"/>
      <c r="K321" s="572"/>
      <c r="L321" s="569"/>
      <c r="M321" s="569"/>
      <c r="N321" s="569"/>
      <c r="O321" s="569"/>
      <c r="P321" s="566"/>
      <c r="Q321" s="566"/>
      <c r="R321" s="566"/>
      <c r="S321" s="566"/>
      <c r="T321" s="566"/>
      <c r="U321" s="566"/>
      <c r="V321" s="566"/>
      <c r="W321" s="566"/>
      <c r="X321" s="553"/>
      <c r="Y321" s="553"/>
      <c r="Z321" s="553"/>
      <c r="AA321" s="554"/>
      <c r="AB321" s="550"/>
      <c r="AC321" s="550"/>
      <c r="AD321" s="550"/>
      <c r="AE321" s="307"/>
      <c r="AF321" s="307"/>
      <c r="AG321" s="307"/>
      <c r="AH321" s="307"/>
      <c r="AI321" s="307"/>
      <c r="AJ321" s="307"/>
      <c r="AK321" s="307"/>
      <c r="AL321" s="307"/>
      <c r="AM321" s="307"/>
      <c r="AN321" s="307"/>
      <c r="AO321" s="307"/>
      <c r="AP321" s="307"/>
      <c r="AQ321" s="307"/>
      <c r="AR321" s="307"/>
      <c r="AS321" s="307"/>
      <c r="AT321" s="307"/>
      <c r="AU321" s="307"/>
      <c r="AV321" s="307"/>
      <c r="AW321" s="307"/>
      <c r="AX321" s="307"/>
      <c r="AY321" s="307"/>
      <c r="AZ321" s="307"/>
      <c r="BA321" s="307"/>
      <c r="BB321" s="307"/>
      <c r="BC321" s="307"/>
      <c r="BD321" s="307"/>
      <c r="BE321" s="307"/>
      <c r="BF321" s="307"/>
      <c r="BG321" s="307"/>
      <c r="BH321" s="307"/>
      <c r="BI321" s="307"/>
      <c r="BJ321" s="307"/>
      <c r="BK321" s="307"/>
      <c r="BL321" s="307"/>
      <c r="BM321" s="307"/>
      <c r="BN321" s="307"/>
      <c r="BO321" s="307"/>
      <c r="BP321" s="307"/>
      <c r="BQ321" s="307"/>
      <c r="BR321" s="307"/>
      <c r="BS321" s="307"/>
      <c r="BT321" s="307"/>
      <c r="BU321" s="307"/>
      <c r="BV321" s="307"/>
      <c r="BW321" s="307"/>
      <c r="BX321" s="307"/>
      <c r="BY321" s="307"/>
      <c r="BZ321" s="307"/>
      <c r="CA321" s="307"/>
      <c r="CB321" s="307"/>
      <c r="CC321" s="307"/>
      <c r="CD321" s="307"/>
      <c r="CE321" s="307"/>
      <c r="CF321" s="307"/>
      <c r="CG321" s="307"/>
      <c r="CH321" s="307"/>
      <c r="CI321" s="307"/>
      <c r="CJ321" s="307"/>
      <c r="CK321" s="307"/>
      <c r="CL321" s="307"/>
      <c r="CM321" s="307"/>
      <c r="CN321" s="307"/>
      <c r="CO321" s="307"/>
      <c r="CP321" s="307"/>
      <c r="CQ321" s="307"/>
      <c r="CR321" s="307"/>
      <c r="CS321" s="307"/>
      <c r="CT321" s="307"/>
      <c r="CU321" s="307"/>
      <c r="CV321" s="307"/>
      <c r="CW321" s="307"/>
      <c r="CX321" s="307"/>
      <c r="CY321" s="307"/>
      <c r="CZ321" s="307"/>
      <c r="DA321" s="307"/>
      <c r="DB321" s="280"/>
      <c r="DC321" s="280"/>
      <c r="DD321" s="280"/>
      <c r="DE321" s="280"/>
      <c r="DF321" s="280"/>
      <c r="DG321" s="280"/>
      <c r="DH321" s="280"/>
      <c r="DI321" s="280"/>
      <c r="DJ321" s="280"/>
      <c r="DK321" s="280"/>
      <c r="DL321" s="280"/>
      <c r="DM321" s="280"/>
      <c r="DN321" s="280"/>
      <c r="DO321" s="280"/>
      <c r="DP321" s="280"/>
      <c r="DQ321" s="280"/>
      <c r="DR321" s="280"/>
      <c r="DS321" s="280"/>
      <c r="DT321" s="280"/>
      <c r="DU321" s="280"/>
      <c r="DV321" s="280"/>
      <c r="DW321" s="280"/>
      <c r="DX321" s="280"/>
      <c r="DY321" s="280"/>
      <c r="DZ321" s="280"/>
      <c r="EA321" s="280"/>
      <c r="EB321" s="280"/>
      <c r="EC321" s="280"/>
      <c r="ED321" s="280"/>
      <c r="EE321" s="280"/>
      <c r="EF321" s="280"/>
      <c r="EG321" s="280"/>
      <c r="EH321" s="280"/>
      <c r="EI321" s="280"/>
      <c r="EJ321" s="280"/>
      <c r="EK321" s="280"/>
      <c r="EL321" s="280"/>
      <c r="EM321" s="280"/>
      <c r="EN321" s="280"/>
      <c r="EO321" s="280"/>
      <c r="EP321" s="521"/>
      <c r="EQ321" s="521"/>
      <c r="ER321" s="521"/>
      <c r="ES321" s="521"/>
      <c r="ET321" s="521"/>
      <c r="EU321" s="521"/>
      <c r="EV321" s="521"/>
      <c r="EW321" s="521"/>
      <c r="EX321" s="521"/>
      <c r="EY321" s="521"/>
      <c r="EZ321" s="521"/>
      <c r="FA321" s="521"/>
      <c r="FB321" s="521"/>
      <c r="FC321" s="521"/>
      <c r="FD321" s="521"/>
      <c r="FE321" s="521"/>
      <c r="FF321" s="521"/>
      <c r="FG321" s="521"/>
      <c r="FH321" s="567"/>
      <c r="FI321" s="567"/>
      <c r="FJ321" s="567"/>
      <c r="FK321" s="567"/>
      <c r="FL321" s="567"/>
      <c r="FM321" s="567"/>
      <c r="FN321" s="567"/>
      <c r="FO321" s="567"/>
    </row>
    <row r="322" spans="1:171" s="568" customFormat="1" ht="13.9" customHeight="1">
      <c r="A322" s="566"/>
      <c r="B322" s="566"/>
      <c r="C322" s="566"/>
      <c r="D322" s="569"/>
      <c r="E322" s="570"/>
      <c r="F322" s="571"/>
      <c r="G322" s="571"/>
      <c r="H322" s="571"/>
      <c r="I322" s="571"/>
      <c r="J322" s="571"/>
      <c r="K322" s="572"/>
      <c r="L322" s="569"/>
      <c r="M322" s="569"/>
      <c r="N322" s="569"/>
      <c r="O322" s="569"/>
      <c r="P322" s="566"/>
      <c r="Q322" s="566"/>
      <c r="R322" s="566"/>
      <c r="S322" s="566"/>
      <c r="T322" s="566"/>
      <c r="U322" s="566"/>
      <c r="V322" s="566"/>
      <c r="W322" s="566"/>
      <c r="X322" s="553"/>
      <c r="Y322" s="553"/>
      <c r="Z322" s="553"/>
      <c r="AA322" s="554"/>
      <c r="AB322" s="550"/>
      <c r="AC322" s="550"/>
      <c r="AD322" s="550"/>
      <c r="AE322" s="307"/>
      <c r="AF322" s="307"/>
      <c r="AG322" s="307"/>
      <c r="AH322" s="307"/>
      <c r="AI322" s="307"/>
      <c r="AJ322" s="307"/>
      <c r="AK322" s="307"/>
      <c r="AL322" s="307"/>
      <c r="AM322" s="307"/>
      <c r="AN322" s="307"/>
      <c r="AO322" s="307"/>
      <c r="AP322" s="307"/>
      <c r="AQ322" s="307"/>
      <c r="AR322" s="307"/>
      <c r="AS322" s="307"/>
      <c r="AT322" s="307"/>
      <c r="AU322" s="307"/>
      <c r="AV322" s="307"/>
      <c r="AW322" s="307"/>
      <c r="AX322" s="307"/>
      <c r="AY322" s="307"/>
      <c r="AZ322" s="307"/>
      <c r="BA322" s="307"/>
      <c r="BB322" s="307"/>
      <c r="BC322" s="307"/>
      <c r="BD322" s="307"/>
      <c r="BE322" s="307"/>
      <c r="BF322" s="307"/>
      <c r="BG322" s="307"/>
      <c r="BH322" s="307"/>
      <c r="BI322" s="307"/>
      <c r="BJ322" s="307"/>
      <c r="BK322" s="307"/>
      <c r="BL322" s="307"/>
      <c r="BM322" s="307"/>
      <c r="BN322" s="307"/>
      <c r="BO322" s="307"/>
      <c r="BP322" s="307"/>
      <c r="BQ322" s="307"/>
      <c r="BR322" s="307"/>
      <c r="BS322" s="307"/>
      <c r="BT322" s="307"/>
      <c r="BU322" s="307"/>
      <c r="BV322" s="307"/>
      <c r="BW322" s="307"/>
      <c r="BX322" s="307"/>
      <c r="BY322" s="307"/>
      <c r="BZ322" s="307"/>
      <c r="CA322" s="307"/>
      <c r="CB322" s="307"/>
      <c r="CC322" s="307"/>
      <c r="CD322" s="307"/>
      <c r="CE322" s="307"/>
      <c r="CF322" s="307"/>
      <c r="CG322" s="307"/>
      <c r="CH322" s="307"/>
      <c r="CI322" s="307"/>
      <c r="CJ322" s="307"/>
      <c r="CK322" s="307"/>
      <c r="CL322" s="307"/>
      <c r="CM322" s="307"/>
      <c r="CN322" s="307"/>
      <c r="CO322" s="307"/>
      <c r="CP322" s="307"/>
      <c r="CQ322" s="307"/>
      <c r="CR322" s="307"/>
      <c r="CS322" s="307"/>
      <c r="CT322" s="307"/>
      <c r="CU322" s="307"/>
      <c r="CV322" s="307"/>
      <c r="CW322" s="307"/>
      <c r="CX322" s="307"/>
      <c r="CY322" s="307"/>
      <c r="CZ322" s="307"/>
      <c r="DA322" s="307"/>
      <c r="DB322" s="280"/>
      <c r="DC322" s="280"/>
      <c r="DD322" s="280"/>
      <c r="DE322" s="280"/>
      <c r="DF322" s="280"/>
      <c r="DG322" s="280"/>
      <c r="DH322" s="280"/>
      <c r="DI322" s="280"/>
      <c r="DJ322" s="280"/>
      <c r="DK322" s="280"/>
      <c r="DL322" s="280"/>
      <c r="DM322" s="280"/>
      <c r="DN322" s="280"/>
      <c r="DO322" s="280"/>
      <c r="DP322" s="280"/>
      <c r="DQ322" s="280"/>
      <c r="DR322" s="280"/>
      <c r="DS322" s="280"/>
      <c r="DT322" s="280"/>
      <c r="DU322" s="280"/>
      <c r="DV322" s="280"/>
      <c r="DW322" s="280"/>
      <c r="DX322" s="280"/>
      <c r="DY322" s="280"/>
      <c r="DZ322" s="280"/>
      <c r="EA322" s="280"/>
      <c r="EB322" s="280"/>
      <c r="EC322" s="280"/>
      <c r="ED322" s="280"/>
      <c r="EE322" s="280"/>
      <c r="EF322" s="280"/>
      <c r="EG322" s="280"/>
      <c r="EH322" s="280"/>
      <c r="EI322" s="280"/>
      <c r="EJ322" s="280"/>
      <c r="EK322" s="280"/>
      <c r="EL322" s="280"/>
      <c r="EM322" s="280"/>
      <c r="EN322" s="280"/>
      <c r="EO322" s="280"/>
      <c r="EP322" s="521"/>
      <c r="EQ322" s="521"/>
      <c r="ER322" s="521"/>
      <c r="ES322" s="521"/>
      <c r="ET322" s="521"/>
      <c r="EU322" s="521"/>
      <c r="EV322" s="521"/>
      <c r="EW322" s="521"/>
      <c r="EX322" s="521"/>
      <c r="EY322" s="521"/>
      <c r="EZ322" s="521"/>
      <c r="FA322" s="521"/>
      <c r="FB322" s="521"/>
      <c r="FC322" s="521"/>
      <c r="FD322" s="521"/>
      <c r="FE322" s="521"/>
      <c r="FF322" s="521"/>
      <c r="FG322" s="521"/>
      <c r="FH322" s="567"/>
      <c r="FI322" s="567"/>
      <c r="FJ322" s="567"/>
      <c r="FK322" s="567"/>
      <c r="FL322" s="567"/>
      <c r="FM322" s="567"/>
      <c r="FN322" s="567"/>
      <c r="FO322" s="567"/>
    </row>
    <row r="323" spans="1:171" s="568" customFormat="1" ht="13.9" customHeight="1">
      <c r="A323" s="566"/>
      <c r="B323" s="566"/>
      <c r="C323" s="566"/>
      <c r="D323" s="569"/>
      <c r="E323" s="570"/>
      <c r="F323" s="571"/>
      <c r="G323" s="571"/>
      <c r="H323" s="571"/>
      <c r="I323" s="571"/>
      <c r="J323" s="571"/>
      <c r="K323" s="572"/>
      <c r="L323" s="569"/>
      <c r="M323" s="569"/>
      <c r="N323" s="569"/>
      <c r="O323" s="569"/>
      <c r="P323" s="566"/>
      <c r="Q323" s="566"/>
      <c r="R323" s="566"/>
      <c r="S323" s="566"/>
      <c r="T323" s="566"/>
      <c r="U323" s="566"/>
      <c r="V323" s="566"/>
      <c r="W323" s="566"/>
      <c r="X323" s="553"/>
      <c r="Y323" s="553"/>
      <c r="Z323" s="553"/>
      <c r="AA323" s="554"/>
      <c r="AB323" s="550"/>
      <c r="AC323" s="550"/>
      <c r="AD323" s="550"/>
      <c r="AE323" s="307"/>
      <c r="AF323" s="307"/>
      <c r="AG323" s="307"/>
      <c r="AH323" s="307"/>
      <c r="AI323" s="307"/>
      <c r="AJ323" s="307"/>
      <c r="AK323" s="307"/>
      <c r="AL323" s="307"/>
      <c r="AM323" s="307"/>
      <c r="AN323" s="307"/>
      <c r="AO323" s="307"/>
      <c r="AP323" s="307"/>
      <c r="AQ323" s="307"/>
      <c r="AR323" s="307"/>
      <c r="AS323" s="307"/>
      <c r="AT323" s="307"/>
      <c r="AU323" s="307"/>
      <c r="AV323" s="307"/>
      <c r="AW323" s="307"/>
      <c r="AX323" s="307"/>
      <c r="AY323" s="307"/>
      <c r="AZ323" s="307"/>
      <c r="BA323" s="307"/>
      <c r="BB323" s="307"/>
      <c r="BC323" s="307"/>
      <c r="BD323" s="307"/>
      <c r="BE323" s="307"/>
      <c r="BF323" s="307"/>
      <c r="BG323" s="307"/>
      <c r="BH323" s="307"/>
      <c r="BI323" s="307"/>
      <c r="BJ323" s="307"/>
      <c r="BK323" s="307"/>
      <c r="BL323" s="307"/>
      <c r="BM323" s="307"/>
      <c r="BN323" s="307"/>
      <c r="BO323" s="307"/>
      <c r="BP323" s="307"/>
      <c r="BQ323" s="307"/>
      <c r="BR323" s="307"/>
      <c r="BS323" s="307"/>
      <c r="BT323" s="307"/>
      <c r="BU323" s="307"/>
      <c r="BV323" s="307"/>
      <c r="BW323" s="307"/>
      <c r="BX323" s="307"/>
      <c r="BY323" s="307"/>
      <c r="BZ323" s="307"/>
      <c r="CA323" s="307"/>
      <c r="CB323" s="307"/>
      <c r="CC323" s="307"/>
      <c r="CD323" s="307"/>
      <c r="CE323" s="307"/>
      <c r="CF323" s="307"/>
      <c r="CG323" s="307"/>
      <c r="CH323" s="307"/>
      <c r="CI323" s="307"/>
      <c r="CJ323" s="307"/>
      <c r="CK323" s="307"/>
      <c r="CL323" s="307"/>
      <c r="CM323" s="307"/>
      <c r="CN323" s="307"/>
      <c r="CO323" s="307"/>
      <c r="CP323" s="307"/>
      <c r="CQ323" s="307"/>
      <c r="CR323" s="307"/>
      <c r="CS323" s="307"/>
      <c r="CT323" s="307"/>
      <c r="CU323" s="307"/>
      <c r="CV323" s="307"/>
      <c r="CW323" s="307"/>
      <c r="CX323" s="307"/>
      <c r="CY323" s="307"/>
      <c r="CZ323" s="307"/>
      <c r="DA323" s="307"/>
      <c r="DB323" s="280"/>
      <c r="DC323" s="280"/>
      <c r="DD323" s="280"/>
      <c r="DE323" s="280"/>
      <c r="DF323" s="280"/>
      <c r="DG323" s="280"/>
      <c r="DH323" s="280"/>
      <c r="DI323" s="280"/>
      <c r="DJ323" s="280"/>
      <c r="DK323" s="280"/>
      <c r="DL323" s="280"/>
      <c r="DM323" s="280"/>
      <c r="DN323" s="280"/>
      <c r="DO323" s="280"/>
      <c r="DP323" s="280"/>
      <c r="DQ323" s="280"/>
      <c r="DR323" s="280"/>
      <c r="DS323" s="280"/>
      <c r="DT323" s="280"/>
      <c r="DU323" s="280"/>
      <c r="DV323" s="280"/>
      <c r="DW323" s="280"/>
      <c r="DX323" s="280"/>
      <c r="DY323" s="280"/>
      <c r="DZ323" s="280"/>
      <c r="EA323" s="280"/>
      <c r="EB323" s="280"/>
      <c r="EC323" s="280"/>
      <c r="ED323" s="280"/>
      <c r="EE323" s="280"/>
      <c r="EF323" s="280"/>
      <c r="EG323" s="280"/>
      <c r="EH323" s="280"/>
      <c r="EI323" s="280"/>
      <c r="EJ323" s="280"/>
      <c r="EK323" s="280"/>
      <c r="EL323" s="280"/>
      <c r="EM323" s="280"/>
      <c r="EN323" s="280"/>
      <c r="EO323" s="280"/>
      <c r="EP323" s="521"/>
      <c r="EQ323" s="521"/>
      <c r="ER323" s="521"/>
      <c r="ES323" s="521"/>
      <c r="ET323" s="521"/>
      <c r="EU323" s="521"/>
      <c r="EV323" s="521"/>
      <c r="EW323" s="521"/>
      <c r="EX323" s="521"/>
      <c r="EY323" s="521"/>
      <c r="EZ323" s="521"/>
      <c r="FA323" s="521"/>
      <c r="FB323" s="521"/>
      <c r="FC323" s="521"/>
      <c r="FD323" s="521"/>
      <c r="FE323" s="521"/>
      <c r="FF323" s="521"/>
      <c r="FG323" s="521"/>
      <c r="FH323" s="567"/>
      <c r="FI323" s="567"/>
      <c r="FJ323" s="567"/>
      <c r="FK323" s="567"/>
      <c r="FL323" s="567"/>
      <c r="FM323" s="567"/>
      <c r="FN323" s="567"/>
      <c r="FO323" s="567"/>
    </row>
    <row r="324" spans="1:171" s="568" customFormat="1" ht="13.9" customHeight="1">
      <c r="A324" s="566"/>
      <c r="B324" s="566"/>
      <c r="C324" s="566"/>
      <c r="D324" s="569"/>
      <c r="E324" s="570"/>
      <c r="F324" s="571"/>
      <c r="G324" s="571"/>
      <c r="H324" s="571"/>
      <c r="I324" s="571"/>
      <c r="J324" s="571"/>
      <c r="K324" s="572"/>
      <c r="L324" s="569"/>
      <c r="M324" s="569"/>
      <c r="N324" s="569"/>
      <c r="O324" s="569"/>
      <c r="P324" s="566"/>
      <c r="Q324" s="566"/>
      <c r="R324" s="566"/>
      <c r="S324" s="566"/>
      <c r="T324" s="566"/>
      <c r="U324" s="566"/>
      <c r="V324" s="566"/>
      <c r="W324" s="566"/>
      <c r="X324" s="553"/>
      <c r="Y324" s="553"/>
      <c r="Z324" s="553"/>
      <c r="AA324" s="554"/>
      <c r="AB324" s="550"/>
      <c r="AC324" s="550"/>
      <c r="AD324" s="550"/>
      <c r="AE324" s="307"/>
      <c r="AF324" s="307"/>
      <c r="AG324" s="307"/>
      <c r="AH324" s="307"/>
      <c r="AI324" s="307"/>
      <c r="AJ324" s="307"/>
      <c r="AK324" s="307"/>
      <c r="AL324" s="307"/>
      <c r="AM324" s="307"/>
      <c r="AN324" s="307"/>
      <c r="AO324" s="307"/>
      <c r="AP324" s="307"/>
      <c r="AQ324" s="307"/>
      <c r="AR324" s="307"/>
      <c r="AS324" s="307"/>
      <c r="AT324" s="307"/>
      <c r="AU324" s="307"/>
      <c r="AV324" s="307"/>
      <c r="AW324" s="307"/>
      <c r="AX324" s="307"/>
      <c r="AY324" s="307"/>
      <c r="AZ324" s="307"/>
      <c r="BA324" s="307"/>
      <c r="BB324" s="307"/>
      <c r="BC324" s="307"/>
      <c r="BD324" s="307"/>
      <c r="BE324" s="307"/>
      <c r="BF324" s="307"/>
      <c r="BG324" s="307"/>
      <c r="BH324" s="307"/>
      <c r="BI324" s="307"/>
      <c r="BJ324" s="307"/>
      <c r="BK324" s="307"/>
      <c r="BL324" s="307"/>
      <c r="BM324" s="307"/>
      <c r="BN324" s="307"/>
      <c r="BO324" s="307"/>
      <c r="BP324" s="307"/>
      <c r="BQ324" s="307"/>
      <c r="BR324" s="307"/>
      <c r="BS324" s="307"/>
      <c r="BT324" s="307"/>
      <c r="BU324" s="307"/>
      <c r="BV324" s="307"/>
      <c r="BW324" s="307"/>
      <c r="BX324" s="307"/>
      <c r="BY324" s="307"/>
      <c r="BZ324" s="307"/>
      <c r="CA324" s="307"/>
      <c r="CB324" s="307"/>
      <c r="CC324" s="307"/>
      <c r="CD324" s="307"/>
      <c r="CE324" s="307"/>
      <c r="CF324" s="307"/>
      <c r="CG324" s="307"/>
      <c r="CH324" s="307"/>
      <c r="CI324" s="307"/>
      <c r="CJ324" s="307"/>
      <c r="CK324" s="307"/>
      <c r="CL324" s="307"/>
      <c r="CM324" s="307"/>
      <c r="CN324" s="307"/>
      <c r="CO324" s="307"/>
      <c r="CP324" s="307"/>
      <c r="CQ324" s="307"/>
      <c r="CR324" s="307"/>
      <c r="CS324" s="307"/>
      <c r="CT324" s="307"/>
      <c r="CU324" s="307"/>
      <c r="CV324" s="307"/>
      <c r="CW324" s="307"/>
      <c r="CX324" s="307"/>
      <c r="CY324" s="307"/>
      <c r="CZ324" s="307"/>
      <c r="DA324" s="307"/>
      <c r="DB324" s="280"/>
      <c r="DC324" s="280"/>
      <c r="DD324" s="280"/>
      <c r="DE324" s="280"/>
      <c r="DF324" s="280"/>
      <c r="DG324" s="280"/>
      <c r="DH324" s="280"/>
      <c r="DI324" s="280"/>
      <c r="DJ324" s="280"/>
      <c r="DK324" s="280"/>
      <c r="DL324" s="280"/>
      <c r="DM324" s="280"/>
      <c r="DN324" s="280"/>
      <c r="DO324" s="280"/>
      <c r="DP324" s="280"/>
      <c r="DQ324" s="280"/>
      <c r="DR324" s="280"/>
      <c r="DS324" s="280"/>
      <c r="DT324" s="280"/>
      <c r="DU324" s="280"/>
      <c r="DV324" s="280"/>
      <c r="DW324" s="280"/>
      <c r="DX324" s="280"/>
      <c r="DY324" s="280"/>
      <c r="DZ324" s="280"/>
      <c r="EA324" s="280"/>
      <c r="EB324" s="280"/>
      <c r="EC324" s="280"/>
      <c r="ED324" s="280"/>
      <c r="EE324" s="280"/>
      <c r="EF324" s="280"/>
      <c r="EG324" s="280"/>
      <c r="EH324" s="280"/>
      <c r="EI324" s="280"/>
      <c r="EJ324" s="280"/>
      <c r="EK324" s="280"/>
      <c r="EL324" s="280"/>
      <c r="EM324" s="280"/>
      <c r="EN324" s="280"/>
      <c r="EO324" s="280"/>
      <c r="EP324" s="521"/>
      <c r="EQ324" s="521"/>
      <c r="ER324" s="521"/>
      <c r="ES324" s="521"/>
      <c r="ET324" s="521"/>
      <c r="EU324" s="521"/>
      <c r="EV324" s="521"/>
      <c r="EW324" s="521"/>
      <c r="EX324" s="521"/>
      <c r="EY324" s="521"/>
      <c r="EZ324" s="521"/>
      <c r="FA324" s="521"/>
      <c r="FB324" s="521"/>
      <c r="FC324" s="521"/>
      <c r="FD324" s="521"/>
      <c r="FE324" s="521"/>
      <c r="FF324" s="521"/>
      <c r="FG324" s="521"/>
      <c r="FH324" s="567"/>
      <c r="FI324" s="567"/>
      <c r="FJ324" s="567"/>
      <c r="FK324" s="567"/>
      <c r="FL324" s="567"/>
      <c r="FM324" s="567"/>
      <c r="FN324" s="567"/>
      <c r="FO324" s="567"/>
    </row>
    <row r="325" spans="1:171" s="568" customFormat="1" ht="13.9" customHeight="1">
      <c r="A325" s="566"/>
      <c r="B325" s="566"/>
      <c r="C325" s="566"/>
      <c r="D325" s="569"/>
      <c r="E325" s="570"/>
      <c r="F325" s="571"/>
      <c r="G325" s="571"/>
      <c r="H325" s="571"/>
      <c r="I325" s="571"/>
      <c r="J325" s="571"/>
      <c r="K325" s="572"/>
      <c r="L325" s="569"/>
      <c r="M325" s="569"/>
      <c r="N325" s="569"/>
      <c r="O325" s="569"/>
      <c r="P325" s="566"/>
      <c r="Q325" s="566"/>
      <c r="R325" s="566"/>
      <c r="S325" s="566"/>
      <c r="T325" s="566"/>
      <c r="U325" s="566"/>
      <c r="V325" s="566"/>
      <c r="W325" s="566"/>
      <c r="X325" s="553"/>
      <c r="Y325" s="553"/>
      <c r="Z325" s="553"/>
      <c r="AA325" s="554"/>
      <c r="AB325" s="550"/>
      <c r="AC325" s="550"/>
      <c r="AD325" s="550"/>
      <c r="AE325" s="307"/>
      <c r="AF325" s="307"/>
      <c r="AG325" s="307"/>
      <c r="AH325" s="307"/>
      <c r="AI325" s="307"/>
      <c r="AJ325" s="307"/>
      <c r="AK325" s="307"/>
      <c r="AL325" s="307"/>
      <c r="AM325" s="307"/>
      <c r="AN325" s="307"/>
      <c r="AO325" s="307"/>
      <c r="AP325" s="307"/>
      <c r="AQ325" s="307"/>
      <c r="AR325" s="307"/>
      <c r="AS325" s="307"/>
      <c r="AT325" s="307"/>
      <c r="AU325" s="307"/>
      <c r="AV325" s="307"/>
      <c r="AW325" s="307"/>
      <c r="AX325" s="307"/>
      <c r="AY325" s="307"/>
      <c r="AZ325" s="307"/>
      <c r="BA325" s="307"/>
      <c r="BB325" s="307"/>
      <c r="BC325" s="307"/>
      <c r="BD325" s="307"/>
      <c r="BE325" s="307"/>
      <c r="BF325" s="307"/>
      <c r="BG325" s="307"/>
      <c r="BH325" s="307"/>
      <c r="BI325" s="307"/>
      <c r="BJ325" s="307"/>
      <c r="BK325" s="307"/>
      <c r="BL325" s="307"/>
      <c r="BM325" s="307"/>
      <c r="BN325" s="307"/>
      <c r="BO325" s="307"/>
      <c r="BP325" s="307"/>
      <c r="BQ325" s="307"/>
      <c r="BR325" s="307"/>
      <c r="BS325" s="307"/>
      <c r="BT325" s="307"/>
      <c r="BU325" s="307"/>
      <c r="BV325" s="307"/>
      <c r="BW325" s="307"/>
      <c r="BX325" s="307"/>
      <c r="BY325" s="307"/>
      <c r="BZ325" s="307"/>
      <c r="CA325" s="307"/>
      <c r="CB325" s="307"/>
      <c r="CC325" s="307"/>
      <c r="CD325" s="307"/>
      <c r="CE325" s="307"/>
      <c r="CF325" s="307"/>
      <c r="CG325" s="307"/>
      <c r="CH325" s="307"/>
      <c r="CI325" s="307"/>
      <c r="CJ325" s="307"/>
      <c r="CK325" s="307"/>
      <c r="CL325" s="307"/>
      <c r="CM325" s="307"/>
      <c r="CN325" s="307"/>
      <c r="CO325" s="307"/>
      <c r="CP325" s="307"/>
      <c r="CQ325" s="307"/>
      <c r="CR325" s="307"/>
      <c r="CS325" s="307"/>
      <c r="CT325" s="307"/>
      <c r="CU325" s="307"/>
      <c r="CV325" s="307"/>
      <c r="CW325" s="307"/>
      <c r="CX325" s="307"/>
      <c r="CY325" s="307"/>
      <c r="CZ325" s="307"/>
      <c r="DA325" s="307"/>
      <c r="DB325" s="280"/>
      <c r="DC325" s="280"/>
      <c r="DD325" s="280"/>
      <c r="DE325" s="280"/>
      <c r="DF325" s="280"/>
      <c r="DG325" s="280"/>
      <c r="DH325" s="280"/>
      <c r="DI325" s="280"/>
      <c r="DJ325" s="280"/>
      <c r="DK325" s="280"/>
      <c r="DL325" s="280"/>
      <c r="DM325" s="280"/>
      <c r="DN325" s="280"/>
      <c r="DO325" s="280"/>
      <c r="DP325" s="280"/>
      <c r="DQ325" s="280"/>
      <c r="DR325" s="280"/>
      <c r="DS325" s="280"/>
      <c r="DT325" s="280"/>
      <c r="DU325" s="280"/>
      <c r="DV325" s="280"/>
      <c r="DW325" s="280"/>
      <c r="DX325" s="280"/>
      <c r="DY325" s="280"/>
      <c r="DZ325" s="280"/>
      <c r="EA325" s="280"/>
      <c r="EB325" s="280"/>
      <c r="EC325" s="280"/>
      <c r="ED325" s="280"/>
      <c r="EE325" s="280"/>
      <c r="EF325" s="280"/>
      <c r="EG325" s="280"/>
      <c r="EH325" s="280"/>
      <c r="EI325" s="280"/>
      <c r="EJ325" s="280"/>
      <c r="EK325" s="280"/>
      <c r="EL325" s="280"/>
      <c r="EM325" s="280"/>
      <c r="EN325" s="280"/>
      <c r="EO325" s="280"/>
      <c r="EP325" s="521"/>
      <c r="EQ325" s="521"/>
      <c r="ER325" s="521"/>
      <c r="ES325" s="521"/>
      <c r="ET325" s="521"/>
      <c r="EU325" s="521"/>
      <c r="EV325" s="521"/>
      <c r="EW325" s="521"/>
      <c r="EX325" s="521"/>
      <c r="EY325" s="521"/>
      <c r="EZ325" s="521"/>
      <c r="FA325" s="521"/>
      <c r="FB325" s="521"/>
      <c r="FC325" s="521"/>
      <c r="FD325" s="521"/>
      <c r="FE325" s="521"/>
      <c r="FF325" s="521"/>
      <c r="FG325" s="521"/>
      <c r="FH325" s="567"/>
      <c r="FI325" s="567"/>
      <c r="FJ325" s="567"/>
      <c r="FK325" s="567"/>
      <c r="FL325" s="567"/>
      <c r="FM325" s="567"/>
      <c r="FN325" s="567"/>
      <c r="FO325" s="567"/>
    </row>
    <row r="326" spans="1:171" s="568" customFormat="1" ht="13.9" customHeight="1">
      <c r="A326" s="566"/>
      <c r="B326" s="566"/>
      <c r="C326" s="566"/>
      <c r="D326" s="569"/>
      <c r="E326" s="570"/>
      <c r="F326" s="571"/>
      <c r="G326" s="571"/>
      <c r="H326" s="571"/>
      <c r="I326" s="571"/>
      <c r="J326" s="571"/>
      <c r="K326" s="572"/>
      <c r="L326" s="569"/>
      <c r="M326" s="569"/>
      <c r="N326" s="569"/>
      <c r="O326" s="569"/>
      <c r="P326" s="566"/>
      <c r="Q326" s="566"/>
      <c r="R326" s="566"/>
      <c r="S326" s="566"/>
      <c r="T326" s="566"/>
      <c r="U326" s="566"/>
      <c r="V326" s="566"/>
      <c r="W326" s="566"/>
      <c r="X326" s="553"/>
      <c r="Y326" s="553"/>
      <c r="Z326" s="553"/>
      <c r="AA326" s="554"/>
      <c r="AB326" s="550"/>
      <c r="AC326" s="550"/>
      <c r="AD326" s="550"/>
      <c r="AE326" s="307"/>
      <c r="AF326" s="307"/>
      <c r="AG326" s="307"/>
      <c r="AH326" s="307"/>
      <c r="AI326" s="307"/>
      <c r="AJ326" s="307"/>
      <c r="AK326" s="307"/>
      <c r="AL326" s="307"/>
      <c r="AM326" s="307"/>
      <c r="AN326" s="307"/>
      <c r="AO326" s="307"/>
      <c r="AP326" s="307"/>
      <c r="AQ326" s="307"/>
      <c r="AR326" s="307"/>
      <c r="AS326" s="307"/>
      <c r="AT326" s="307"/>
      <c r="AU326" s="307"/>
      <c r="AV326" s="307"/>
      <c r="AW326" s="307"/>
      <c r="AX326" s="307"/>
      <c r="AY326" s="307"/>
      <c r="AZ326" s="307"/>
      <c r="BA326" s="307"/>
      <c r="BB326" s="307"/>
      <c r="BC326" s="307"/>
      <c r="BD326" s="307"/>
      <c r="BE326" s="307"/>
      <c r="BF326" s="307"/>
      <c r="BG326" s="307"/>
      <c r="BH326" s="307"/>
      <c r="BI326" s="307"/>
      <c r="BJ326" s="307"/>
      <c r="BK326" s="307"/>
      <c r="BL326" s="307"/>
      <c r="BM326" s="307"/>
      <c r="BN326" s="307"/>
      <c r="BO326" s="307"/>
      <c r="BP326" s="307"/>
      <c r="BQ326" s="307"/>
      <c r="BR326" s="307"/>
      <c r="BS326" s="307"/>
      <c r="BT326" s="307"/>
      <c r="BU326" s="307"/>
      <c r="BV326" s="307"/>
      <c r="BW326" s="307"/>
      <c r="BX326" s="307"/>
      <c r="BY326" s="307"/>
      <c r="BZ326" s="307"/>
      <c r="CA326" s="307"/>
      <c r="CB326" s="307"/>
      <c r="CC326" s="307"/>
      <c r="CD326" s="307"/>
      <c r="CE326" s="307"/>
      <c r="CF326" s="307"/>
      <c r="CG326" s="307"/>
      <c r="CH326" s="307"/>
      <c r="CI326" s="307"/>
      <c r="CJ326" s="307"/>
      <c r="CK326" s="307"/>
      <c r="CL326" s="307"/>
      <c r="CM326" s="307"/>
      <c r="CN326" s="307"/>
      <c r="CO326" s="307"/>
      <c r="CP326" s="307"/>
      <c r="CQ326" s="307"/>
      <c r="CR326" s="307"/>
      <c r="CS326" s="307"/>
      <c r="CT326" s="307"/>
      <c r="CU326" s="307"/>
      <c r="CV326" s="307"/>
      <c r="CW326" s="307"/>
      <c r="CX326" s="307"/>
      <c r="CY326" s="307"/>
      <c r="CZ326" s="307"/>
      <c r="DA326" s="307"/>
      <c r="DB326" s="280"/>
      <c r="DC326" s="280"/>
      <c r="DD326" s="280"/>
      <c r="DE326" s="280"/>
      <c r="DF326" s="280"/>
      <c r="DG326" s="280"/>
      <c r="DH326" s="280"/>
      <c r="DI326" s="280"/>
      <c r="DJ326" s="280"/>
      <c r="DK326" s="280"/>
      <c r="DL326" s="280"/>
      <c r="DM326" s="280"/>
      <c r="DN326" s="280"/>
      <c r="DO326" s="280"/>
      <c r="DP326" s="280"/>
      <c r="DQ326" s="280"/>
      <c r="DR326" s="280"/>
      <c r="DS326" s="280"/>
      <c r="DT326" s="280"/>
      <c r="DU326" s="280"/>
      <c r="DV326" s="280"/>
      <c r="DW326" s="280"/>
      <c r="DX326" s="280"/>
      <c r="DY326" s="280"/>
      <c r="DZ326" s="280"/>
      <c r="EA326" s="280"/>
      <c r="EB326" s="280"/>
      <c r="EC326" s="280"/>
      <c r="ED326" s="280"/>
      <c r="EE326" s="280"/>
      <c r="EF326" s="280"/>
      <c r="EG326" s="280"/>
      <c r="EH326" s="280"/>
      <c r="EI326" s="280"/>
      <c r="EJ326" s="280"/>
      <c r="EK326" s="280"/>
      <c r="EL326" s="280"/>
      <c r="EM326" s="280"/>
      <c r="EN326" s="280"/>
      <c r="EO326" s="280"/>
      <c r="EP326" s="521"/>
      <c r="EQ326" s="521"/>
      <c r="ER326" s="521"/>
      <c r="ES326" s="521"/>
      <c r="ET326" s="521"/>
      <c r="EU326" s="521"/>
      <c r="EV326" s="521"/>
      <c r="EW326" s="521"/>
      <c r="EX326" s="521"/>
      <c r="EY326" s="521"/>
      <c r="EZ326" s="521"/>
      <c r="FA326" s="521"/>
      <c r="FB326" s="521"/>
      <c r="FC326" s="521"/>
      <c r="FD326" s="521"/>
      <c r="FE326" s="521"/>
      <c r="FF326" s="521"/>
      <c r="FG326" s="521"/>
      <c r="FH326" s="567"/>
      <c r="FI326" s="567"/>
      <c r="FJ326" s="567"/>
      <c r="FK326" s="567"/>
      <c r="FL326" s="567"/>
      <c r="FM326" s="567"/>
      <c r="FN326" s="567"/>
      <c r="FO326" s="567"/>
    </row>
    <row r="327" spans="1:171" s="568" customFormat="1" ht="13.9" customHeight="1">
      <c r="A327" s="566"/>
      <c r="B327" s="566"/>
      <c r="C327" s="566"/>
      <c r="D327" s="569"/>
      <c r="E327" s="570"/>
      <c r="F327" s="571"/>
      <c r="G327" s="571"/>
      <c r="H327" s="571"/>
      <c r="I327" s="571"/>
      <c r="J327" s="571"/>
      <c r="K327" s="572"/>
      <c r="L327" s="569"/>
      <c r="M327" s="569"/>
      <c r="N327" s="569"/>
      <c r="O327" s="569"/>
      <c r="P327" s="566"/>
      <c r="Q327" s="566"/>
      <c r="R327" s="566"/>
      <c r="S327" s="566"/>
      <c r="T327" s="566"/>
      <c r="U327" s="566"/>
      <c r="V327" s="566"/>
      <c r="W327" s="566"/>
      <c r="X327" s="553"/>
      <c r="Y327" s="553"/>
      <c r="Z327" s="553"/>
      <c r="AA327" s="554"/>
      <c r="AB327" s="550"/>
      <c r="AC327" s="550"/>
      <c r="AD327" s="550"/>
      <c r="AE327" s="307"/>
      <c r="AF327" s="307"/>
      <c r="AG327" s="307"/>
      <c r="AH327" s="307"/>
      <c r="AI327" s="307"/>
      <c r="AJ327" s="307"/>
      <c r="AK327" s="307"/>
      <c r="AL327" s="307"/>
      <c r="AM327" s="307"/>
      <c r="AN327" s="307"/>
      <c r="AO327" s="307"/>
      <c r="AP327" s="307"/>
      <c r="AQ327" s="307"/>
      <c r="AR327" s="307"/>
      <c r="AS327" s="307"/>
      <c r="AT327" s="307"/>
      <c r="AU327" s="307"/>
      <c r="AV327" s="307"/>
      <c r="AW327" s="307"/>
      <c r="AX327" s="307"/>
      <c r="AY327" s="307"/>
      <c r="AZ327" s="307"/>
      <c r="BA327" s="307"/>
      <c r="BB327" s="307"/>
      <c r="BC327" s="307"/>
      <c r="BD327" s="307"/>
      <c r="BE327" s="307"/>
      <c r="BF327" s="307"/>
      <c r="BG327" s="307"/>
      <c r="BH327" s="307"/>
      <c r="BI327" s="307"/>
      <c r="BJ327" s="307"/>
      <c r="BK327" s="307"/>
      <c r="BL327" s="307"/>
      <c r="BM327" s="307"/>
      <c r="BN327" s="307"/>
      <c r="BO327" s="307"/>
      <c r="BP327" s="307"/>
      <c r="BQ327" s="307"/>
      <c r="BR327" s="307"/>
      <c r="BS327" s="307"/>
      <c r="BT327" s="307"/>
      <c r="BU327" s="307"/>
      <c r="BV327" s="307"/>
      <c r="BW327" s="307"/>
      <c r="BX327" s="307"/>
      <c r="BY327" s="307"/>
      <c r="BZ327" s="307"/>
      <c r="CA327" s="307"/>
      <c r="CB327" s="307"/>
      <c r="CC327" s="307"/>
      <c r="CD327" s="307"/>
      <c r="CE327" s="307"/>
      <c r="CF327" s="307"/>
      <c r="CG327" s="307"/>
      <c r="CH327" s="307"/>
      <c r="CI327" s="307"/>
      <c r="CJ327" s="307"/>
      <c r="CK327" s="307"/>
      <c r="CL327" s="307"/>
      <c r="CM327" s="307"/>
      <c r="CN327" s="307"/>
      <c r="CO327" s="307"/>
      <c r="CP327" s="307"/>
      <c r="CQ327" s="307"/>
      <c r="CR327" s="307"/>
      <c r="CS327" s="307"/>
      <c r="CT327" s="307"/>
      <c r="CU327" s="307"/>
      <c r="CV327" s="307"/>
      <c r="CW327" s="307"/>
      <c r="CX327" s="307"/>
      <c r="CY327" s="307"/>
      <c r="CZ327" s="307"/>
      <c r="DA327" s="307"/>
      <c r="DB327" s="280"/>
      <c r="DC327" s="280"/>
      <c r="DD327" s="280"/>
      <c r="DE327" s="280"/>
      <c r="DF327" s="280"/>
      <c r="DG327" s="280"/>
      <c r="DH327" s="280"/>
      <c r="DI327" s="280"/>
      <c r="DJ327" s="280"/>
      <c r="DK327" s="280"/>
      <c r="DL327" s="280"/>
      <c r="DM327" s="280"/>
      <c r="DN327" s="280"/>
      <c r="DO327" s="280"/>
      <c r="DP327" s="280"/>
      <c r="DQ327" s="280"/>
      <c r="DR327" s="280"/>
      <c r="DS327" s="280"/>
      <c r="DT327" s="280"/>
      <c r="DU327" s="280"/>
      <c r="DV327" s="280"/>
      <c r="DW327" s="280"/>
      <c r="DX327" s="280"/>
      <c r="DY327" s="280"/>
      <c r="DZ327" s="280"/>
      <c r="EA327" s="280"/>
      <c r="EB327" s="280"/>
      <c r="EC327" s="280"/>
      <c r="ED327" s="280"/>
      <c r="EE327" s="280"/>
      <c r="EF327" s="280"/>
      <c r="EG327" s="280"/>
      <c r="EH327" s="280"/>
      <c r="EI327" s="280"/>
      <c r="EJ327" s="280"/>
      <c r="EK327" s="280"/>
      <c r="EL327" s="280"/>
      <c r="EM327" s="280"/>
      <c r="EN327" s="280"/>
      <c r="EO327" s="280"/>
      <c r="EP327" s="521"/>
      <c r="EQ327" s="521"/>
      <c r="ER327" s="521"/>
      <c r="ES327" s="521"/>
      <c r="ET327" s="521"/>
      <c r="EU327" s="521"/>
      <c r="EV327" s="521"/>
      <c r="EW327" s="521"/>
      <c r="EX327" s="521"/>
      <c r="EY327" s="521"/>
      <c r="EZ327" s="521"/>
      <c r="FA327" s="521"/>
      <c r="FB327" s="521"/>
      <c r="FC327" s="521"/>
      <c r="FD327" s="521"/>
      <c r="FE327" s="521"/>
      <c r="FF327" s="521"/>
      <c r="FG327" s="521"/>
      <c r="FH327" s="567"/>
      <c r="FI327" s="567"/>
      <c r="FJ327" s="567"/>
      <c r="FK327" s="567"/>
      <c r="FL327" s="567"/>
      <c r="FM327" s="567"/>
      <c r="FN327" s="567"/>
      <c r="FO327" s="567"/>
    </row>
    <row r="328" spans="1:171" s="568" customFormat="1" ht="13.9" customHeight="1">
      <c r="A328" s="566"/>
      <c r="B328" s="566"/>
      <c r="C328" s="566"/>
      <c r="D328" s="569"/>
      <c r="E328" s="570"/>
      <c r="F328" s="571"/>
      <c r="G328" s="571"/>
      <c r="H328" s="571"/>
      <c r="I328" s="571"/>
      <c r="J328" s="571"/>
      <c r="K328" s="572"/>
      <c r="L328" s="569"/>
      <c r="M328" s="569"/>
      <c r="N328" s="569"/>
      <c r="O328" s="569"/>
      <c r="P328" s="566"/>
      <c r="Q328" s="566"/>
      <c r="R328" s="566"/>
      <c r="S328" s="566"/>
      <c r="T328" s="566"/>
      <c r="U328" s="566"/>
      <c r="V328" s="566"/>
      <c r="W328" s="566"/>
      <c r="X328" s="553"/>
      <c r="Y328" s="553"/>
      <c r="Z328" s="553"/>
      <c r="AA328" s="554"/>
      <c r="AB328" s="550"/>
      <c r="AC328" s="550"/>
      <c r="AD328" s="550"/>
      <c r="AE328" s="307"/>
      <c r="AF328" s="307"/>
      <c r="AG328" s="307"/>
      <c r="AH328" s="307"/>
      <c r="AI328" s="307"/>
      <c r="AJ328" s="307"/>
      <c r="AK328" s="307"/>
      <c r="AL328" s="307"/>
      <c r="AM328" s="307"/>
      <c r="AN328" s="307"/>
      <c r="AO328" s="307"/>
      <c r="AP328" s="307"/>
      <c r="AQ328" s="307"/>
      <c r="AR328" s="307"/>
      <c r="AS328" s="307"/>
      <c r="AT328" s="307"/>
      <c r="AU328" s="307"/>
      <c r="AV328" s="307"/>
      <c r="AW328" s="307"/>
      <c r="AX328" s="307"/>
      <c r="AY328" s="307"/>
      <c r="AZ328" s="307"/>
      <c r="BA328" s="307"/>
      <c r="BB328" s="307"/>
      <c r="BC328" s="307"/>
      <c r="BD328" s="307"/>
      <c r="BE328" s="307"/>
      <c r="BF328" s="307"/>
      <c r="BG328" s="307"/>
      <c r="BH328" s="307"/>
      <c r="BI328" s="307"/>
      <c r="BJ328" s="307"/>
      <c r="BK328" s="307"/>
      <c r="BL328" s="307"/>
      <c r="BM328" s="307"/>
      <c r="BN328" s="307"/>
      <c r="BO328" s="307"/>
      <c r="BP328" s="307"/>
      <c r="BQ328" s="307"/>
      <c r="BR328" s="307"/>
      <c r="BS328" s="307"/>
      <c r="BT328" s="307"/>
      <c r="BU328" s="307"/>
      <c r="BV328" s="307"/>
      <c r="BW328" s="307"/>
      <c r="BX328" s="307"/>
      <c r="BY328" s="307"/>
      <c r="BZ328" s="307"/>
      <c r="CA328" s="307"/>
      <c r="CB328" s="307"/>
      <c r="CC328" s="307"/>
      <c r="CD328" s="307"/>
      <c r="CE328" s="307"/>
      <c r="CF328" s="307"/>
      <c r="CG328" s="307"/>
      <c r="CH328" s="307"/>
      <c r="CI328" s="307"/>
      <c r="CJ328" s="307"/>
      <c r="CK328" s="307"/>
      <c r="CL328" s="307"/>
      <c r="CM328" s="307"/>
      <c r="CN328" s="307"/>
      <c r="CO328" s="307"/>
      <c r="CP328" s="307"/>
      <c r="CQ328" s="307"/>
      <c r="CR328" s="307"/>
      <c r="CS328" s="307"/>
      <c r="CT328" s="307"/>
      <c r="CU328" s="307"/>
      <c r="CV328" s="307"/>
      <c r="CW328" s="307"/>
      <c r="CX328" s="307"/>
      <c r="CY328" s="307"/>
      <c r="CZ328" s="307"/>
      <c r="DA328" s="307"/>
      <c r="DB328" s="280"/>
      <c r="DC328" s="280"/>
      <c r="DD328" s="280"/>
      <c r="DE328" s="280"/>
      <c r="DF328" s="280"/>
      <c r="DG328" s="280"/>
      <c r="DH328" s="280"/>
      <c r="DI328" s="280"/>
      <c r="DJ328" s="280"/>
      <c r="DK328" s="280"/>
      <c r="DL328" s="280"/>
      <c r="DM328" s="280"/>
      <c r="DN328" s="280"/>
      <c r="DO328" s="280"/>
      <c r="DP328" s="280"/>
      <c r="DQ328" s="280"/>
      <c r="DR328" s="280"/>
      <c r="DS328" s="280"/>
      <c r="DT328" s="280"/>
      <c r="DU328" s="280"/>
      <c r="DV328" s="280"/>
      <c r="DW328" s="280"/>
      <c r="DX328" s="280"/>
      <c r="DY328" s="280"/>
      <c r="DZ328" s="280"/>
      <c r="EA328" s="280"/>
      <c r="EB328" s="280"/>
      <c r="EC328" s="280"/>
      <c r="ED328" s="280"/>
      <c r="EE328" s="280"/>
      <c r="EF328" s="280"/>
      <c r="EG328" s="280"/>
      <c r="EH328" s="280"/>
      <c r="EI328" s="280"/>
      <c r="EJ328" s="280"/>
      <c r="EK328" s="280"/>
      <c r="EL328" s="280"/>
      <c r="EM328" s="280"/>
      <c r="EN328" s="280"/>
      <c r="EO328" s="280"/>
      <c r="EP328" s="521"/>
      <c r="EQ328" s="521"/>
      <c r="ER328" s="521"/>
      <c r="ES328" s="521"/>
      <c r="ET328" s="521"/>
      <c r="EU328" s="521"/>
      <c r="EV328" s="521"/>
      <c r="EW328" s="521"/>
      <c r="EX328" s="521"/>
      <c r="EY328" s="521"/>
      <c r="EZ328" s="521"/>
      <c r="FA328" s="521"/>
      <c r="FB328" s="521"/>
      <c r="FC328" s="521"/>
      <c r="FD328" s="521"/>
      <c r="FE328" s="521"/>
      <c r="FF328" s="521"/>
      <c r="FG328" s="521"/>
      <c r="FH328" s="567"/>
      <c r="FI328" s="567"/>
      <c r="FJ328" s="567"/>
      <c r="FK328" s="567"/>
      <c r="FL328" s="567"/>
      <c r="FM328" s="567"/>
      <c r="FN328" s="567"/>
      <c r="FO328" s="567"/>
    </row>
    <row r="329" spans="1:171" s="568" customFormat="1" ht="13.9" customHeight="1">
      <c r="A329" s="566"/>
      <c r="B329" s="566"/>
      <c r="C329" s="566"/>
      <c r="D329" s="569"/>
      <c r="E329" s="570"/>
      <c r="F329" s="571"/>
      <c r="G329" s="571"/>
      <c r="H329" s="571"/>
      <c r="I329" s="571"/>
      <c r="J329" s="571"/>
      <c r="K329" s="572"/>
      <c r="L329" s="569"/>
      <c r="M329" s="569"/>
      <c r="N329" s="569"/>
      <c r="O329" s="569"/>
      <c r="P329" s="566"/>
      <c r="Q329" s="566"/>
      <c r="R329" s="566"/>
      <c r="S329" s="566"/>
      <c r="T329" s="566"/>
      <c r="U329" s="566"/>
      <c r="V329" s="566"/>
      <c r="W329" s="566"/>
      <c r="X329" s="553"/>
      <c r="Y329" s="553"/>
      <c r="Z329" s="553"/>
      <c r="AA329" s="554"/>
      <c r="AB329" s="550"/>
      <c r="AC329" s="550"/>
      <c r="AD329" s="550"/>
      <c r="AE329" s="307"/>
      <c r="AF329" s="307"/>
      <c r="AG329" s="307"/>
      <c r="AH329" s="307"/>
      <c r="AI329" s="307"/>
      <c r="AJ329" s="307"/>
      <c r="AK329" s="307"/>
      <c r="AL329" s="307"/>
      <c r="AM329" s="307"/>
      <c r="AN329" s="307"/>
      <c r="AO329" s="307"/>
      <c r="AP329" s="307"/>
      <c r="AQ329" s="307"/>
      <c r="AR329" s="307"/>
      <c r="AS329" s="307"/>
      <c r="AT329" s="307"/>
      <c r="AU329" s="307"/>
      <c r="AV329" s="307"/>
      <c r="AW329" s="307"/>
      <c r="AX329" s="307"/>
      <c r="AY329" s="307"/>
      <c r="AZ329" s="307"/>
      <c r="BA329" s="307"/>
      <c r="BB329" s="307"/>
      <c r="BC329" s="307"/>
      <c r="BD329" s="307"/>
      <c r="BE329" s="307"/>
      <c r="BF329" s="307"/>
      <c r="BG329" s="307"/>
      <c r="BH329" s="307"/>
      <c r="BI329" s="307"/>
      <c r="BJ329" s="307"/>
      <c r="BK329" s="307"/>
      <c r="BL329" s="307"/>
      <c r="BM329" s="307"/>
      <c r="BN329" s="307"/>
      <c r="BO329" s="307"/>
      <c r="BP329" s="307"/>
      <c r="BQ329" s="307"/>
      <c r="BR329" s="307"/>
      <c r="BS329" s="307"/>
      <c r="BT329" s="307"/>
      <c r="BU329" s="307"/>
      <c r="BV329" s="307"/>
      <c r="BW329" s="307"/>
      <c r="BX329" s="307"/>
      <c r="BY329" s="307"/>
      <c r="BZ329" s="307"/>
      <c r="CA329" s="307"/>
      <c r="CB329" s="307"/>
      <c r="CC329" s="307"/>
      <c r="CD329" s="307"/>
      <c r="CE329" s="307"/>
      <c r="CF329" s="307"/>
      <c r="CG329" s="307"/>
      <c r="CH329" s="307"/>
      <c r="CI329" s="307"/>
      <c r="CJ329" s="307"/>
      <c r="CK329" s="307"/>
      <c r="CL329" s="307"/>
      <c r="CM329" s="307"/>
      <c r="CN329" s="307"/>
      <c r="CO329" s="307"/>
      <c r="CP329" s="307"/>
      <c r="CQ329" s="307"/>
      <c r="CR329" s="307"/>
      <c r="CS329" s="307"/>
      <c r="CT329" s="307"/>
      <c r="CU329" s="307"/>
      <c r="CV329" s="307"/>
      <c r="CW329" s="307"/>
      <c r="CX329" s="307"/>
      <c r="CY329" s="307"/>
      <c r="CZ329" s="307"/>
      <c r="DA329" s="307"/>
      <c r="DB329" s="280"/>
      <c r="DC329" s="280"/>
      <c r="DD329" s="280"/>
      <c r="DE329" s="280"/>
      <c r="DF329" s="280"/>
      <c r="DG329" s="280"/>
      <c r="DH329" s="280"/>
      <c r="DI329" s="280"/>
      <c r="DJ329" s="280"/>
      <c r="DK329" s="280"/>
      <c r="DL329" s="280"/>
      <c r="DM329" s="280"/>
      <c r="DN329" s="280"/>
      <c r="DO329" s="280"/>
      <c r="DP329" s="280"/>
      <c r="DQ329" s="280"/>
      <c r="DR329" s="280"/>
      <c r="DS329" s="280"/>
      <c r="DT329" s="280"/>
      <c r="DU329" s="280"/>
      <c r="DV329" s="280"/>
      <c r="DW329" s="280"/>
      <c r="DX329" s="280"/>
      <c r="DY329" s="280"/>
      <c r="DZ329" s="280"/>
      <c r="EA329" s="280"/>
      <c r="EB329" s="280"/>
      <c r="EC329" s="280"/>
      <c r="ED329" s="280"/>
      <c r="EE329" s="280"/>
      <c r="EF329" s="280"/>
      <c r="EG329" s="280"/>
      <c r="EH329" s="280"/>
      <c r="EI329" s="280"/>
      <c r="EJ329" s="280"/>
      <c r="EK329" s="280"/>
      <c r="EL329" s="280"/>
      <c r="EM329" s="280"/>
      <c r="EN329" s="280"/>
      <c r="EO329" s="280"/>
      <c r="EP329" s="521"/>
      <c r="EQ329" s="521"/>
      <c r="ER329" s="521"/>
      <c r="ES329" s="521"/>
      <c r="ET329" s="521"/>
      <c r="EU329" s="521"/>
      <c r="EV329" s="521"/>
      <c r="EW329" s="521"/>
      <c r="EX329" s="521"/>
      <c r="EY329" s="521"/>
      <c r="EZ329" s="521"/>
      <c r="FA329" s="521"/>
      <c r="FB329" s="521"/>
      <c r="FC329" s="521"/>
      <c r="FD329" s="521"/>
      <c r="FE329" s="521"/>
      <c r="FF329" s="521"/>
      <c r="FG329" s="521"/>
      <c r="FH329" s="567"/>
      <c r="FI329" s="567"/>
      <c r="FJ329" s="567"/>
      <c r="FK329" s="567"/>
      <c r="FL329" s="567"/>
      <c r="FM329" s="567"/>
      <c r="FN329" s="567"/>
      <c r="FO329" s="567"/>
    </row>
    <row r="330" spans="1:171" s="568" customFormat="1" ht="13.9" customHeight="1">
      <c r="A330" s="566"/>
      <c r="B330" s="566"/>
      <c r="C330" s="566"/>
      <c r="D330" s="569"/>
      <c r="E330" s="570"/>
      <c r="F330" s="571"/>
      <c r="G330" s="571"/>
      <c r="H330" s="571"/>
      <c r="I330" s="571"/>
      <c r="J330" s="571"/>
      <c r="K330" s="572"/>
      <c r="L330" s="569"/>
      <c r="M330" s="569"/>
      <c r="N330" s="569"/>
      <c r="O330" s="569"/>
      <c r="P330" s="566"/>
      <c r="Q330" s="566"/>
      <c r="R330" s="566"/>
      <c r="S330" s="566"/>
      <c r="T330" s="566"/>
      <c r="U330" s="566"/>
      <c r="V330" s="566"/>
      <c r="W330" s="566"/>
      <c r="X330" s="553"/>
      <c r="Y330" s="553"/>
      <c r="Z330" s="553"/>
      <c r="AA330" s="554"/>
      <c r="AB330" s="550"/>
      <c r="AC330" s="550"/>
      <c r="AD330" s="550"/>
      <c r="AE330" s="307"/>
      <c r="AF330" s="307"/>
      <c r="AG330" s="307"/>
      <c r="AH330" s="307"/>
      <c r="AI330" s="307"/>
      <c r="AJ330" s="307"/>
      <c r="AK330" s="307"/>
      <c r="AL330" s="307"/>
      <c r="AM330" s="307"/>
      <c r="AN330" s="307"/>
      <c r="AO330" s="307"/>
      <c r="AP330" s="307"/>
      <c r="AQ330" s="307"/>
      <c r="AR330" s="307"/>
      <c r="AS330" s="307"/>
      <c r="AT330" s="307"/>
      <c r="AU330" s="307"/>
      <c r="AV330" s="307"/>
      <c r="AW330" s="307"/>
      <c r="AX330" s="307"/>
      <c r="AY330" s="307"/>
      <c r="AZ330" s="307"/>
      <c r="BA330" s="307"/>
      <c r="BB330" s="307"/>
      <c r="BC330" s="307"/>
      <c r="BD330" s="307"/>
      <c r="BE330" s="307"/>
      <c r="BF330" s="307"/>
      <c r="BG330" s="307"/>
      <c r="BH330" s="307"/>
      <c r="BI330" s="307"/>
      <c r="BJ330" s="307"/>
      <c r="BK330" s="307"/>
      <c r="BL330" s="307"/>
      <c r="BM330" s="307"/>
      <c r="BN330" s="307"/>
      <c r="BO330" s="307"/>
      <c r="BP330" s="307"/>
      <c r="BQ330" s="307"/>
      <c r="BR330" s="307"/>
      <c r="BS330" s="307"/>
      <c r="BT330" s="307"/>
      <c r="BU330" s="307"/>
      <c r="BV330" s="307"/>
      <c r="BW330" s="307"/>
      <c r="BX330" s="307"/>
      <c r="BY330" s="307"/>
      <c r="BZ330" s="307"/>
      <c r="CA330" s="307"/>
      <c r="CB330" s="307"/>
      <c r="CC330" s="307"/>
      <c r="CD330" s="307"/>
      <c r="CE330" s="307"/>
      <c r="CF330" s="307"/>
      <c r="CG330" s="307"/>
      <c r="CH330" s="307"/>
      <c r="CI330" s="307"/>
      <c r="CJ330" s="307"/>
      <c r="CK330" s="307"/>
      <c r="CL330" s="307"/>
      <c r="CM330" s="307"/>
      <c r="CN330" s="307"/>
      <c r="CO330" s="307"/>
      <c r="CP330" s="307"/>
      <c r="CQ330" s="307"/>
      <c r="CR330" s="307"/>
      <c r="CS330" s="307"/>
      <c r="CT330" s="307"/>
      <c r="CU330" s="307"/>
      <c r="CV330" s="307"/>
      <c r="CW330" s="307"/>
      <c r="CX330" s="307"/>
      <c r="CY330" s="307"/>
      <c r="CZ330" s="307"/>
      <c r="DA330" s="307"/>
      <c r="DB330" s="280"/>
      <c r="DC330" s="280"/>
      <c r="DD330" s="280"/>
      <c r="DE330" s="280"/>
      <c r="DF330" s="280"/>
      <c r="DG330" s="280"/>
      <c r="DH330" s="280"/>
      <c r="DI330" s="280"/>
      <c r="DJ330" s="280"/>
      <c r="DK330" s="280"/>
      <c r="DL330" s="280"/>
      <c r="DM330" s="280"/>
      <c r="DN330" s="280"/>
      <c r="DO330" s="280"/>
      <c r="DP330" s="280"/>
      <c r="DQ330" s="280"/>
      <c r="DR330" s="280"/>
      <c r="DS330" s="280"/>
      <c r="DT330" s="280"/>
      <c r="DU330" s="280"/>
      <c r="DV330" s="280"/>
      <c r="DW330" s="280"/>
      <c r="DX330" s="280"/>
      <c r="DY330" s="280"/>
      <c r="DZ330" s="280"/>
      <c r="EA330" s="280"/>
      <c r="EB330" s="280"/>
      <c r="EC330" s="280"/>
      <c r="ED330" s="280"/>
      <c r="EE330" s="280"/>
      <c r="EF330" s="280"/>
      <c r="EG330" s="280"/>
      <c r="EH330" s="280"/>
      <c r="EI330" s="280"/>
      <c r="EJ330" s="280"/>
      <c r="EK330" s="280"/>
      <c r="EL330" s="280"/>
      <c r="EM330" s="280"/>
      <c r="EN330" s="280"/>
      <c r="EO330" s="280"/>
      <c r="EP330" s="521"/>
      <c r="EQ330" s="521"/>
      <c r="ER330" s="521"/>
      <c r="ES330" s="521"/>
      <c r="ET330" s="521"/>
      <c r="EU330" s="521"/>
      <c r="EV330" s="521"/>
      <c r="EW330" s="521"/>
      <c r="EX330" s="521"/>
      <c r="EY330" s="521"/>
      <c r="EZ330" s="521"/>
      <c r="FA330" s="521"/>
      <c r="FB330" s="521"/>
      <c r="FC330" s="521"/>
      <c r="FD330" s="521"/>
      <c r="FE330" s="521"/>
      <c r="FF330" s="521"/>
      <c r="FG330" s="521"/>
      <c r="FH330" s="567"/>
      <c r="FI330" s="567"/>
      <c r="FJ330" s="567"/>
      <c r="FK330" s="567"/>
      <c r="FL330" s="567"/>
      <c r="FM330" s="567"/>
      <c r="FN330" s="567"/>
      <c r="FO330" s="567"/>
    </row>
    <row r="331" spans="1:171" s="568" customFormat="1" ht="13.9" customHeight="1">
      <c r="A331" s="566"/>
      <c r="B331" s="566"/>
      <c r="C331" s="566"/>
      <c r="D331" s="569"/>
      <c r="E331" s="570"/>
      <c r="F331" s="571"/>
      <c r="G331" s="571"/>
      <c r="H331" s="571"/>
      <c r="I331" s="571"/>
      <c r="J331" s="571"/>
      <c r="K331" s="572"/>
      <c r="L331" s="569"/>
      <c r="M331" s="569"/>
      <c r="N331" s="569"/>
      <c r="O331" s="569"/>
      <c r="P331" s="566"/>
      <c r="Q331" s="566"/>
      <c r="R331" s="566"/>
      <c r="S331" s="566"/>
      <c r="T331" s="566"/>
      <c r="U331" s="566"/>
      <c r="V331" s="566"/>
      <c r="W331" s="566"/>
      <c r="X331" s="553"/>
      <c r="Y331" s="553"/>
      <c r="Z331" s="553"/>
      <c r="AA331" s="554"/>
      <c r="AB331" s="550"/>
      <c r="AC331" s="550"/>
      <c r="AD331" s="550"/>
      <c r="AE331" s="307"/>
      <c r="AF331" s="307"/>
      <c r="AG331" s="307"/>
      <c r="AH331" s="307"/>
      <c r="AI331" s="307"/>
      <c r="AJ331" s="307"/>
      <c r="AK331" s="307"/>
      <c r="AL331" s="307"/>
      <c r="AM331" s="307"/>
      <c r="AN331" s="307"/>
      <c r="AO331" s="307"/>
      <c r="AP331" s="307"/>
      <c r="AQ331" s="307"/>
      <c r="AR331" s="307"/>
      <c r="AS331" s="307"/>
      <c r="AT331" s="307"/>
      <c r="AU331" s="307"/>
      <c r="AV331" s="307"/>
      <c r="AW331" s="307"/>
      <c r="AX331" s="307"/>
      <c r="AY331" s="307"/>
      <c r="AZ331" s="307"/>
      <c r="BA331" s="307"/>
      <c r="BB331" s="307"/>
      <c r="BC331" s="307"/>
      <c r="BD331" s="307"/>
      <c r="BE331" s="307"/>
      <c r="BF331" s="307"/>
      <c r="BG331" s="307"/>
      <c r="BH331" s="307"/>
      <c r="BI331" s="307"/>
      <c r="BJ331" s="307"/>
      <c r="BK331" s="307"/>
      <c r="BL331" s="307"/>
      <c r="BM331" s="307"/>
      <c r="BN331" s="307"/>
      <c r="BO331" s="307"/>
      <c r="BP331" s="307"/>
      <c r="BQ331" s="307"/>
      <c r="BR331" s="307"/>
      <c r="BS331" s="307"/>
      <c r="BT331" s="307"/>
      <c r="BU331" s="307"/>
      <c r="BV331" s="307"/>
      <c r="BW331" s="307"/>
      <c r="BX331" s="307"/>
      <c r="BY331" s="307"/>
      <c r="BZ331" s="307"/>
      <c r="CA331" s="307"/>
      <c r="CB331" s="307"/>
      <c r="CC331" s="307"/>
      <c r="CD331" s="307"/>
      <c r="CE331" s="307"/>
      <c r="CF331" s="307"/>
      <c r="CG331" s="307"/>
      <c r="CH331" s="307"/>
      <c r="CI331" s="307"/>
      <c r="CJ331" s="307"/>
      <c r="CK331" s="307"/>
      <c r="CL331" s="307"/>
      <c r="CM331" s="307"/>
      <c r="CN331" s="307"/>
      <c r="CO331" s="307"/>
      <c r="CP331" s="307"/>
      <c r="CQ331" s="307"/>
      <c r="CR331" s="307"/>
      <c r="CS331" s="307"/>
      <c r="CT331" s="307"/>
      <c r="CU331" s="307"/>
      <c r="CV331" s="307"/>
      <c r="CW331" s="307"/>
      <c r="CX331" s="307"/>
      <c r="CY331" s="307"/>
      <c r="CZ331" s="307"/>
      <c r="DA331" s="307"/>
      <c r="DB331" s="280"/>
      <c r="DC331" s="280"/>
      <c r="DD331" s="280"/>
      <c r="DE331" s="280"/>
      <c r="DF331" s="280"/>
      <c r="DG331" s="280"/>
      <c r="DH331" s="280"/>
      <c r="DI331" s="280"/>
      <c r="DJ331" s="280"/>
      <c r="DK331" s="280"/>
      <c r="DL331" s="280"/>
      <c r="DM331" s="280"/>
      <c r="DN331" s="280"/>
      <c r="DO331" s="280"/>
      <c r="DP331" s="280"/>
      <c r="DQ331" s="280"/>
      <c r="DR331" s="280"/>
      <c r="DS331" s="280"/>
      <c r="DT331" s="280"/>
      <c r="DU331" s="280"/>
      <c r="DV331" s="280"/>
      <c r="DW331" s="280"/>
      <c r="DX331" s="280"/>
      <c r="DY331" s="280"/>
      <c r="DZ331" s="280"/>
      <c r="EA331" s="280"/>
      <c r="EB331" s="280"/>
      <c r="EC331" s="280"/>
      <c r="ED331" s="280"/>
      <c r="EE331" s="280"/>
      <c r="EF331" s="280"/>
      <c r="EG331" s="280"/>
      <c r="EH331" s="280"/>
      <c r="EI331" s="280"/>
      <c r="EJ331" s="280"/>
      <c r="EK331" s="280"/>
      <c r="EL331" s="280"/>
      <c r="EM331" s="280"/>
      <c r="EN331" s="280"/>
      <c r="EO331" s="280"/>
      <c r="EP331" s="521"/>
      <c r="EQ331" s="521"/>
      <c r="ER331" s="521"/>
      <c r="ES331" s="521"/>
      <c r="ET331" s="521"/>
      <c r="EU331" s="521"/>
      <c r="EV331" s="521"/>
      <c r="EW331" s="521"/>
      <c r="EX331" s="521"/>
      <c r="EY331" s="521"/>
      <c r="EZ331" s="521"/>
      <c r="FA331" s="521"/>
      <c r="FB331" s="521"/>
      <c r="FC331" s="521"/>
      <c r="FD331" s="521"/>
      <c r="FE331" s="521"/>
      <c r="FF331" s="521"/>
      <c r="FG331" s="521"/>
      <c r="FH331" s="567"/>
      <c r="FI331" s="567"/>
      <c r="FJ331" s="567"/>
      <c r="FK331" s="567"/>
      <c r="FL331" s="567"/>
      <c r="FM331" s="567"/>
      <c r="FN331" s="567"/>
      <c r="FO331" s="567"/>
    </row>
    <row r="332" spans="1:171" s="568" customFormat="1" ht="13.9" customHeight="1">
      <c r="A332" s="566"/>
      <c r="B332" s="566"/>
      <c r="C332" s="566"/>
      <c r="D332" s="569"/>
      <c r="E332" s="570"/>
      <c r="F332" s="571"/>
      <c r="G332" s="571"/>
      <c r="H332" s="571"/>
      <c r="I332" s="571"/>
      <c r="J332" s="571"/>
      <c r="K332" s="572"/>
      <c r="L332" s="569"/>
      <c r="M332" s="569"/>
      <c r="N332" s="569"/>
      <c r="O332" s="569"/>
      <c r="P332" s="566"/>
      <c r="Q332" s="566"/>
      <c r="R332" s="566"/>
      <c r="S332" s="566"/>
      <c r="T332" s="566"/>
      <c r="U332" s="566"/>
      <c r="V332" s="566"/>
      <c r="W332" s="566"/>
      <c r="X332" s="553"/>
      <c r="Y332" s="553"/>
      <c r="Z332" s="553"/>
      <c r="AA332" s="554"/>
      <c r="AB332" s="550"/>
      <c r="AC332" s="550"/>
      <c r="AD332" s="550"/>
      <c r="AE332" s="307"/>
      <c r="AF332" s="307"/>
      <c r="AG332" s="307"/>
      <c r="AH332" s="307"/>
      <c r="AI332" s="307"/>
      <c r="AJ332" s="307"/>
      <c r="AK332" s="307"/>
      <c r="AL332" s="307"/>
      <c r="AM332" s="307"/>
      <c r="AN332" s="307"/>
      <c r="AO332" s="307"/>
      <c r="AP332" s="307"/>
      <c r="AQ332" s="307"/>
      <c r="AR332" s="307"/>
      <c r="AS332" s="307"/>
      <c r="AT332" s="307"/>
      <c r="AU332" s="307"/>
      <c r="AV332" s="307"/>
      <c r="AW332" s="307"/>
      <c r="AX332" s="307"/>
      <c r="AY332" s="307"/>
      <c r="AZ332" s="307"/>
      <c r="BA332" s="307"/>
      <c r="BB332" s="307"/>
      <c r="BC332" s="307"/>
      <c r="BD332" s="307"/>
      <c r="BE332" s="307"/>
      <c r="BF332" s="307"/>
      <c r="BG332" s="307"/>
      <c r="BH332" s="307"/>
      <c r="BI332" s="307"/>
      <c r="BJ332" s="307"/>
      <c r="BK332" s="307"/>
      <c r="BL332" s="307"/>
      <c r="BM332" s="307"/>
      <c r="BN332" s="307"/>
      <c r="BO332" s="307"/>
      <c r="BP332" s="307"/>
      <c r="BQ332" s="307"/>
      <c r="BR332" s="307"/>
      <c r="BS332" s="307"/>
      <c r="BT332" s="307"/>
      <c r="BU332" s="307"/>
      <c r="BV332" s="307"/>
      <c r="BW332" s="307"/>
      <c r="BX332" s="307"/>
      <c r="BY332" s="307"/>
      <c r="BZ332" s="307"/>
      <c r="CA332" s="307"/>
      <c r="CB332" s="307"/>
      <c r="CC332" s="307"/>
      <c r="CD332" s="307"/>
      <c r="CE332" s="307"/>
      <c r="CF332" s="307"/>
      <c r="CG332" s="307"/>
      <c r="CH332" s="307"/>
      <c r="CI332" s="307"/>
      <c r="CJ332" s="307"/>
      <c r="CK332" s="307"/>
      <c r="CL332" s="307"/>
      <c r="CM332" s="307"/>
      <c r="CN332" s="307"/>
      <c r="CO332" s="307"/>
      <c r="CP332" s="307"/>
      <c r="CQ332" s="307"/>
      <c r="CR332" s="307"/>
      <c r="CS332" s="307"/>
      <c r="CT332" s="307"/>
      <c r="CU332" s="307"/>
      <c r="CV332" s="307"/>
      <c r="CW332" s="307"/>
      <c r="CX332" s="307"/>
      <c r="CY332" s="307"/>
      <c r="CZ332" s="307"/>
      <c r="DA332" s="307"/>
      <c r="DB332" s="280"/>
      <c r="DC332" s="280"/>
      <c r="DD332" s="280"/>
      <c r="DE332" s="280"/>
      <c r="DF332" s="280"/>
      <c r="DG332" s="280"/>
      <c r="DH332" s="280"/>
      <c r="DI332" s="280"/>
      <c r="DJ332" s="280"/>
      <c r="DK332" s="280"/>
      <c r="DL332" s="280"/>
      <c r="DM332" s="280"/>
      <c r="DN332" s="280"/>
      <c r="DO332" s="280"/>
      <c r="DP332" s="280"/>
      <c r="DQ332" s="280"/>
      <c r="DR332" s="280"/>
      <c r="DS332" s="280"/>
      <c r="DT332" s="280"/>
      <c r="DU332" s="280"/>
      <c r="DV332" s="280"/>
      <c r="DW332" s="280"/>
      <c r="DX332" s="280"/>
      <c r="DY332" s="280"/>
      <c r="DZ332" s="280"/>
      <c r="EA332" s="280"/>
      <c r="EB332" s="280"/>
      <c r="EC332" s="280"/>
      <c r="ED332" s="280"/>
      <c r="EE332" s="280"/>
      <c r="EF332" s="280"/>
      <c r="EG332" s="280"/>
      <c r="EH332" s="280"/>
      <c r="EI332" s="280"/>
      <c r="EJ332" s="280"/>
      <c r="EK332" s="280"/>
      <c r="EL332" s="280"/>
      <c r="EM332" s="280"/>
      <c r="EN332" s="280"/>
      <c r="EO332" s="280"/>
      <c r="EP332" s="521"/>
      <c r="EQ332" s="521"/>
      <c r="ER332" s="521"/>
      <c r="ES332" s="521"/>
      <c r="ET332" s="521"/>
      <c r="EU332" s="521"/>
      <c r="EV332" s="521"/>
      <c r="EW332" s="521"/>
      <c r="EX332" s="521"/>
      <c r="EY332" s="521"/>
      <c r="EZ332" s="521"/>
      <c r="FA332" s="521"/>
      <c r="FB332" s="521"/>
      <c r="FC332" s="521"/>
      <c r="FD332" s="521"/>
      <c r="FE332" s="521"/>
      <c r="FF332" s="521"/>
      <c r="FG332" s="521"/>
      <c r="FH332" s="567"/>
      <c r="FI332" s="567"/>
      <c r="FJ332" s="567"/>
      <c r="FK332" s="567"/>
      <c r="FL332" s="567"/>
      <c r="FM332" s="567"/>
      <c r="FN332" s="567"/>
      <c r="FO332" s="567"/>
    </row>
    <row r="333" spans="1:171" s="568" customFormat="1" ht="13.9" customHeight="1">
      <c r="A333" s="566"/>
      <c r="B333" s="566"/>
      <c r="C333" s="566"/>
      <c r="D333" s="569"/>
      <c r="E333" s="570"/>
      <c r="F333" s="571"/>
      <c r="G333" s="571"/>
      <c r="H333" s="571"/>
      <c r="I333" s="571"/>
      <c r="J333" s="571"/>
      <c r="K333" s="572"/>
      <c r="L333" s="569"/>
      <c r="M333" s="569"/>
      <c r="N333" s="569"/>
      <c r="O333" s="569"/>
      <c r="P333" s="566"/>
      <c r="Q333" s="566"/>
      <c r="R333" s="566"/>
      <c r="S333" s="566"/>
      <c r="T333" s="566"/>
      <c r="U333" s="566"/>
      <c r="V333" s="566"/>
      <c r="W333" s="566"/>
      <c r="X333" s="553"/>
      <c r="Y333" s="553"/>
      <c r="Z333" s="553"/>
      <c r="AA333" s="554"/>
      <c r="AB333" s="550"/>
      <c r="AC333" s="550"/>
      <c r="AD333" s="550"/>
      <c r="AE333" s="307"/>
      <c r="AF333" s="307"/>
      <c r="AG333" s="307"/>
      <c r="AH333" s="307"/>
      <c r="AI333" s="307"/>
      <c r="AJ333" s="307"/>
      <c r="AK333" s="307"/>
      <c r="AL333" s="307"/>
      <c r="AM333" s="307"/>
      <c r="AN333" s="307"/>
      <c r="AO333" s="307"/>
      <c r="AP333" s="307"/>
      <c r="AQ333" s="307"/>
      <c r="AR333" s="307"/>
      <c r="AS333" s="307"/>
      <c r="AT333" s="307"/>
      <c r="AU333" s="307"/>
      <c r="AV333" s="307"/>
      <c r="AW333" s="307"/>
      <c r="AX333" s="307"/>
      <c r="AY333" s="307"/>
      <c r="AZ333" s="307"/>
      <c r="BA333" s="307"/>
      <c r="BB333" s="307"/>
      <c r="BC333" s="307"/>
      <c r="BD333" s="307"/>
      <c r="BE333" s="307"/>
      <c r="BF333" s="307"/>
      <c r="BG333" s="307"/>
      <c r="BH333" s="307"/>
      <c r="BI333" s="307"/>
      <c r="BJ333" s="307"/>
      <c r="BK333" s="307"/>
      <c r="BL333" s="307"/>
      <c r="BM333" s="307"/>
      <c r="BN333" s="307"/>
      <c r="BO333" s="307"/>
      <c r="BP333" s="307"/>
      <c r="BQ333" s="307"/>
      <c r="BR333" s="307"/>
      <c r="BS333" s="307"/>
      <c r="BT333" s="307"/>
      <c r="BU333" s="307"/>
      <c r="BV333" s="307"/>
      <c r="BW333" s="307"/>
      <c r="BX333" s="307"/>
      <c r="BY333" s="307"/>
      <c r="BZ333" s="307"/>
      <c r="CA333" s="307"/>
      <c r="CB333" s="307"/>
      <c r="CC333" s="307"/>
      <c r="CD333" s="307"/>
      <c r="CE333" s="307"/>
      <c r="CF333" s="307"/>
      <c r="CG333" s="307"/>
      <c r="CH333" s="307"/>
      <c r="CI333" s="307"/>
      <c r="CJ333" s="307"/>
      <c r="CK333" s="307"/>
      <c r="CL333" s="307"/>
      <c r="CM333" s="307"/>
      <c r="CN333" s="307"/>
      <c r="CO333" s="307"/>
      <c r="CP333" s="307"/>
      <c r="CQ333" s="307"/>
      <c r="CR333" s="307"/>
      <c r="CS333" s="307"/>
      <c r="CT333" s="307"/>
      <c r="CU333" s="307"/>
      <c r="CV333" s="307"/>
      <c r="CW333" s="307"/>
      <c r="CX333" s="307"/>
      <c r="CY333" s="307"/>
      <c r="CZ333" s="307"/>
      <c r="DA333" s="307"/>
      <c r="DB333" s="280"/>
      <c r="DC333" s="280"/>
      <c r="DD333" s="280"/>
      <c r="DE333" s="280"/>
      <c r="DF333" s="280"/>
      <c r="DG333" s="280"/>
      <c r="DH333" s="280"/>
      <c r="DI333" s="280"/>
      <c r="DJ333" s="280"/>
      <c r="DK333" s="280"/>
      <c r="DL333" s="280"/>
      <c r="DM333" s="280"/>
      <c r="DN333" s="280"/>
      <c r="DO333" s="280"/>
      <c r="DP333" s="280"/>
      <c r="DQ333" s="280"/>
      <c r="DR333" s="280"/>
      <c r="DS333" s="280"/>
      <c r="DT333" s="280"/>
      <c r="DU333" s="280"/>
      <c r="DV333" s="280"/>
      <c r="DW333" s="280"/>
      <c r="DX333" s="280"/>
      <c r="DY333" s="280"/>
      <c r="DZ333" s="280"/>
      <c r="EA333" s="280"/>
      <c r="EB333" s="280"/>
      <c r="EC333" s="280"/>
      <c r="ED333" s="280"/>
      <c r="EE333" s="280"/>
      <c r="EF333" s="280"/>
      <c r="EG333" s="280"/>
      <c r="EH333" s="280"/>
      <c r="EI333" s="280"/>
      <c r="EJ333" s="280"/>
      <c r="EK333" s="280"/>
      <c r="EL333" s="280"/>
      <c r="EM333" s="280"/>
      <c r="EN333" s="280"/>
      <c r="EO333" s="280"/>
      <c r="EP333" s="521"/>
      <c r="EQ333" s="521"/>
      <c r="ER333" s="521"/>
      <c r="ES333" s="521"/>
      <c r="ET333" s="521"/>
      <c r="EU333" s="521"/>
      <c r="EV333" s="521"/>
      <c r="EW333" s="521"/>
      <c r="EX333" s="521"/>
      <c r="EY333" s="521"/>
      <c r="EZ333" s="521"/>
      <c r="FA333" s="521"/>
      <c r="FB333" s="521"/>
      <c r="FC333" s="521"/>
      <c r="FD333" s="521"/>
      <c r="FE333" s="521"/>
      <c r="FF333" s="521"/>
      <c r="FG333" s="521"/>
      <c r="FH333" s="567"/>
      <c r="FI333" s="567"/>
      <c r="FJ333" s="567"/>
      <c r="FK333" s="567"/>
      <c r="FL333" s="567"/>
      <c r="FM333" s="567"/>
      <c r="FN333" s="567"/>
      <c r="FO333" s="567"/>
    </row>
    <row r="334" spans="1:171" s="568" customFormat="1" ht="13.9" customHeight="1">
      <c r="A334" s="566"/>
      <c r="B334" s="566"/>
      <c r="C334" s="566"/>
      <c r="D334" s="569"/>
      <c r="E334" s="570"/>
      <c r="F334" s="571"/>
      <c r="G334" s="571"/>
      <c r="H334" s="571"/>
      <c r="I334" s="571"/>
      <c r="J334" s="571"/>
      <c r="K334" s="572"/>
      <c r="L334" s="569"/>
      <c r="M334" s="569"/>
      <c r="N334" s="569"/>
      <c r="O334" s="569"/>
      <c r="P334" s="566"/>
      <c r="Q334" s="566"/>
      <c r="R334" s="566"/>
      <c r="S334" s="566"/>
      <c r="T334" s="566"/>
      <c r="U334" s="566"/>
      <c r="V334" s="566"/>
      <c r="W334" s="566"/>
      <c r="X334" s="553"/>
      <c r="Y334" s="553"/>
      <c r="Z334" s="553"/>
      <c r="AA334" s="554"/>
      <c r="AB334" s="550"/>
      <c r="AC334" s="550"/>
      <c r="AD334" s="550"/>
      <c r="AE334" s="307"/>
      <c r="AF334" s="307"/>
      <c r="AG334" s="307"/>
      <c r="AH334" s="307"/>
      <c r="AI334" s="307"/>
      <c r="AJ334" s="307"/>
      <c r="AK334" s="307"/>
      <c r="AL334" s="307"/>
      <c r="AM334" s="307"/>
      <c r="AN334" s="307"/>
      <c r="AO334" s="307"/>
      <c r="AP334" s="307"/>
      <c r="AQ334" s="307"/>
      <c r="AR334" s="307"/>
      <c r="AS334" s="307"/>
      <c r="AT334" s="307"/>
      <c r="AU334" s="307"/>
      <c r="AV334" s="307"/>
      <c r="AW334" s="307"/>
      <c r="AX334" s="307"/>
      <c r="AY334" s="307"/>
      <c r="AZ334" s="307"/>
      <c r="BA334" s="307"/>
      <c r="BB334" s="307"/>
      <c r="BC334" s="307"/>
      <c r="BD334" s="307"/>
      <c r="BE334" s="307"/>
      <c r="BF334" s="307"/>
      <c r="BG334" s="307"/>
      <c r="BH334" s="307"/>
      <c r="BI334" s="307"/>
      <c r="BJ334" s="307"/>
      <c r="BK334" s="307"/>
      <c r="BL334" s="307"/>
      <c r="BM334" s="307"/>
      <c r="BN334" s="307"/>
      <c r="BO334" s="307"/>
      <c r="BP334" s="307"/>
      <c r="BQ334" s="307"/>
      <c r="BR334" s="307"/>
      <c r="BS334" s="307"/>
      <c r="BT334" s="307"/>
      <c r="BU334" s="307"/>
      <c r="BV334" s="307"/>
      <c r="BW334" s="307"/>
      <c r="BX334" s="307"/>
      <c r="BY334" s="307"/>
      <c r="BZ334" s="307"/>
      <c r="CA334" s="307"/>
      <c r="CB334" s="307"/>
      <c r="CC334" s="307"/>
      <c r="CD334" s="307"/>
      <c r="CE334" s="307"/>
      <c r="CF334" s="307"/>
      <c r="CG334" s="307"/>
      <c r="CH334" s="307"/>
      <c r="CI334" s="307"/>
      <c r="CJ334" s="307"/>
      <c r="CK334" s="307"/>
      <c r="CL334" s="307"/>
      <c r="CM334" s="307"/>
      <c r="CN334" s="307"/>
      <c r="CO334" s="307"/>
      <c r="CP334" s="307"/>
      <c r="CQ334" s="307"/>
      <c r="CR334" s="307"/>
      <c r="CS334" s="307"/>
      <c r="CT334" s="307"/>
      <c r="CU334" s="307"/>
      <c r="CV334" s="307"/>
      <c r="CW334" s="307"/>
      <c r="CX334" s="307"/>
      <c r="CY334" s="307"/>
      <c r="CZ334" s="307"/>
      <c r="DA334" s="307"/>
      <c r="DB334" s="280"/>
      <c r="DC334" s="280"/>
      <c r="DD334" s="280"/>
      <c r="DE334" s="280"/>
      <c r="DF334" s="280"/>
      <c r="DG334" s="280"/>
      <c r="DH334" s="280"/>
      <c r="DI334" s="280"/>
      <c r="DJ334" s="280"/>
      <c r="DK334" s="280"/>
      <c r="DL334" s="280"/>
      <c r="DM334" s="280"/>
      <c r="DN334" s="280"/>
      <c r="DO334" s="280"/>
      <c r="DP334" s="280"/>
      <c r="DQ334" s="280"/>
      <c r="DR334" s="280"/>
      <c r="DS334" s="280"/>
      <c r="DT334" s="280"/>
      <c r="DU334" s="280"/>
      <c r="DV334" s="280"/>
      <c r="DW334" s="280"/>
      <c r="DX334" s="280"/>
      <c r="DY334" s="280"/>
      <c r="DZ334" s="280"/>
      <c r="EA334" s="280"/>
      <c r="EB334" s="280"/>
      <c r="EC334" s="280"/>
      <c r="ED334" s="280"/>
      <c r="EE334" s="280"/>
      <c r="EF334" s="280"/>
      <c r="EG334" s="280"/>
      <c r="EH334" s="280"/>
      <c r="EI334" s="280"/>
      <c r="EJ334" s="280"/>
      <c r="EK334" s="280"/>
      <c r="EL334" s="280"/>
      <c r="EM334" s="280"/>
      <c r="EN334" s="280"/>
      <c r="EO334" s="280"/>
      <c r="EP334" s="521"/>
      <c r="EQ334" s="521"/>
      <c r="ER334" s="521"/>
      <c r="ES334" s="521"/>
      <c r="ET334" s="521"/>
      <c r="EU334" s="521"/>
      <c r="EV334" s="521"/>
      <c r="EW334" s="521"/>
      <c r="EX334" s="521"/>
      <c r="EY334" s="521"/>
      <c r="EZ334" s="521"/>
      <c r="FA334" s="521"/>
      <c r="FB334" s="521"/>
      <c r="FC334" s="521"/>
      <c r="FD334" s="521"/>
      <c r="FE334" s="521"/>
      <c r="FF334" s="521"/>
      <c r="FG334" s="521"/>
      <c r="FH334" s="567"/>
      <c r="FI334" s="567"/>
      <c r="FJ334" s="567"/>
      <c r="FK334" s="567"/>
      <c r="FL334" s="567"/>
      <c r="FM334" s="567"/>
      <c r="FN334" s="567"/>
      <c r="FO334" s="567"/>
    </row>
    <row r="335" spans="1:171" s="568" customFormat="1" ht="13.9" customHeight="1">
      <c r="A335" s="566"/>
      <c r="B335" s="566"/>
      <c r="C335" s="566"/>
      <c r="D335" s="569"/>
      <c r="E335" s="570"/>
      <c r="F335" s="571"/>
      <c r="G335" s="571"/>
      <c r="H335" s="571"/>
      <c r="I335" s="571"/>
      <c r="J335" s="571"/>
      <c r="K335" s="572"/>
      <c r="L335" s="569"/>
      <c r="M335" s="569"/>
      <c r="N335" s="569"/>
      <c r="O335" s="569"/>
      <c r="P335" s="566"/>
      <c r="Q335" s="566"/>
      <c r="R335" s="566"/>
      <c r="S335" s="566"/>
      <c r="T335" s="566"/>
      <c r="U335" s="566"/>
      <c r="V335" s="566"/>
      <c r="W335" s="566"/>
      <c r="X335" s="553"/>
      <c r="Y335" s="553"/>
      <c r="Z335" s="553"/>
      <c r="AA335" s="554"/>
      <c r="AB335" s="550"/>
      <c r="AC335" s="550"/>
      <c r="AD335" s="550"/>
      <c r="AE335" s="307"/>
      <c r="AF335" s="307"/>
      <c r="AG335" s="307"/>
      <c r="AH335" s="307"/>
      <c r="AI335" s="307"/>
      <c r="AJ335" s="307"/>
      <c r="AK335" s="307"/>
      <c r="AL335" s="307"/>
      <c r="AM335" s="307"/>
      <c r="AN335" s="307"/>
      <c r="AO335" s="307"/>
      <c r="AP335" s="307"/>
      <c r="AQ335" s="307"/>
      <c r="AR335" s="307"/>
      <c r="AS335" s="307"/>
      <c r="AT335" s="307"/>
      <c r="AU335" s="307"/>
      <c r="AV335" s="307"/>
      <c r="AW335" s="307"/>
      <c r="AX335" s="307"/>
      <c r="AY335" s="307"/>
      <c r="AZ335" s="307"/>
      <c r="BA335" s="307"/>
      <c r="BB335" s="307"/>
      <c r="BC335" s="307"/>
      <c r="BD335" s="307"/>
      <c r="BE335" s="307"/>
      <c r="BF335" s="307"/>
      <c r="BG335" s="307"/>
      <c r="BH335" s="307"/>
      <c r="BI335" s="307"/>
      <c r="BJ335" s="307"/>
      <c r="BK335" s="307"/>
      <c r="BL335" s="307"/>
      <c r="BM335" s="307"/>
      <c r="BN335" s="307"/>
      <c r="BO335" s="307"/>
      <c r="BP335" s="307"/>
      <c r="BQ335" s="307"/>
      <c r="BR335" s="307"/>
      <c r="BS335" s="307"/>
      <c r="BT335" s="307"/>
      <c r="BU335" s="307"/>
      <c r="BV335" s="307"/>
      <c r="BW335" s="307"/>
      <c r="BX335" s="307"/>
      <c r="BY335" s="307"/>
      <c r="BZ335" s="307"/>
      <c r="CA335" s="307"/>
      <c r="CB335" s="307"/>
      <c r="CC335" s="307"/>
      <c r="CD335" s="307"/>
      <c r="CE335" s="307"/>
      <c r="CF335" s="307"/>
      <c r="CG335" s="307"/>
      <c r="CH335" s="307"/>
      <c r="CI335" s="307"/>
      <c r="CJ335" s="307"/>
      <c r="CK335" s="307"/>
      <c r="CL335" s="307"/>
      <c r="CM335" s="307"/>
      <c r="CN335" s="307"/>
      <c r="CO335" s="307"/>
      <c r="CP335" s="307"/>
      <c r="CQ335" s="307"/>
      <c r="CR335" s="307"/>
      <c r="CS335" s="307"/>
      <c r="CT335" s="307"/>
      <c r="CU335" s="307"/>
      <c r="CV335" s="307"/>
      <c r="CW335" s="307"/>
      <c r="CX335" s="307"/>
      <c r="CY335" s="307"/>
      <c r="CZ335" s="307"/>
      <c r="DA335" s="307"/>
      <c r="DB335" s="280"/>
      <c r="DC335" s="280"/>
      <c r="DD335" s="280"/>
      <c r="DE335" s="280"/>
      <c r="DF335" s="280"/>
      <c r="DG335" s="280"/>
      <c r="DH335" s="280"/>
      <c r="DI335" s="280"/>
      <c r="DJ335" s="280"/>
      <c r="DK335" s="280"/>
      <c r="DL335" s="280"/>
      <c r="DM335" s="280"/>
      <c r="DN335" s="280"/>
      <c r="DO335" s="280"/>
      <c r="DP335" s="280"/>
      <c r="DQ335" s="280"/>
      <c r="DR335" s="280"/>
      <c r="DS335" s="280"/>
      <c r="DT335" s="280"/>
      <c r="DU335" s="280"/>
      <c r="DV335" s="280"/>
      <c r="DW335" s="280"/>
      <c r="DX335" s="280"/>
      <c r="DY335" s="280"/>
      <c r="DZ335" s="280"/>
      <c r="EA335" s="280"/>
      <c r="EB335" s="280"/>
      <c r="EC335" s="280"/>
      <c r="ED335" s="280"/>
      <c r="EE335" s="280"/>
      <c r="EF335" s="280"/>
      <c r="EG335" s="280"/>
      <c r="EH335" s="280"/>
      <c r="EI335" s="280"/>
      <c r="EJ335" s="280"/>
      <c r="EK335" s="280"/>
      <c r="EL335" s="280"/>
      <c r="EM335" s="280"/>
      <c r="EN335" s="280"/>
      <c r="EO335" s="280"/>
      <c r="EP335" s="521"/>
      <c r="EQ335" s="521"/>
      <c r="ER335" s="521"/>
      <c r="ES335" s="521"/>
      <c r="ET335" s="521"/>
      <c r="EU335" s="521"/>
      <c r="EV335" s="521"/>
      <c r="EW335" s="521"/>
      <c r="EX335" s="521"/>
      <c r="EY335" s="521"/>
      <c r="EZ335" s="521"/>
      <c r="FA335" s="521"/>
      <c r="FB335" s="521"/>
      <c r="FC335" s="521"/>
      <c r="FD335" s="521"/>
      <c r="FE335" s="521"/>
      <c r="FF335" s="521"/>
      <c r="FG335" s="521"/>
      <c r="FH335" s="567"/>
      <c r="FI335" s="567"/>
      <c r="FJ335" s="567"/>
      <c r="FK335" s="567"/>
      <c r="FL335" s="567"/>
      <c r="FM335" s="567"/>
      <c r="FN335" s="567"/>
      <c r="FO335" s="567"/>
    </row>
    <row r="336" spans="1:171" s="568" customFormat="1" ht="13.9" customHeight="1">
      <c r="A336" s="566"/>
      <c r="B336" s="566"/>
      <c r="C336" s="566"/>
      <c r="D336" s="569"/>
      <c r="E336" s="570"/>
      <c r="F336" s="571"/>
      <c r="G336" s="571"/>
      <c r="H336" s="571"/>
      <c r="I336" s="571"/>
      <c r="J336" s="571"/>
      <c r="K336" s="572"/>
      <c r="L336" s="569"/>
      <c r="M336" s="569"/>
      <c r="N336" s="569"/>
      <c r="O336" s="569"/>
      <c r="P336" s="566"/>
      <c r="Q336" s="566"/>
      <c r="R336" s="566"/>
      <c r="S336" s="566"/>
      <c r="T336" s="566"/>
      <c r="U336" s="566"/>
      <c r="V336" s="566"/>
      <c r="W336" s="566"/>
      <c r="X336" s="553"/>
      <c r="Y336" s="553"/>
      <c r="Z336" s="553"/>
      <c r="AA336" s="554"/>
      <c r="AB336" s="550"/>
      <c r="AC336" s="550"/>
      <c r="AD336" s="550"/>
      <c r="AE336" s="307"/>
      <c r="AF336" s="307"/>
      <c r="AG336" s="307"/>
      <c r="AH336" s="307"/>
      <c r="AI336" s="307"/>
      <c r="AJ336" s="307"/>
      <c r="AK336" s="307"/>
      <c r="AL336" s="307"/>
      <c r="AM336" s="307"/>
      <c r="AN336" s="307"/>
      <c r="AO336" s="307"/>
      <c r="AP336" s="307"/>
      <c r="AQ336" s="307"/>
      <c r="AR336" s="307"/>
      <c r="AS336" s="307"/>
      <c r="AT336" s="307"/>
      <c r="AU336" s="307"/>
      <c r="AV336" s="307"/>
      <c r="AW336" s="307"/>
      <c r="AX336" s="307"/>
      <c r="AY336" s="307"/>
      <c r="AZ336" s="307"/>
      <c r="BA336" s="307"/>
      <c r="BB336" s="307"/>
      <c r="BC336" s="307"/>
      <c r="BD336" s="307"/>
      <c r="BE336" s="307"/>
      <c r="BF336" s="307"/>
      <c r="BG336" s="307"/>
      <c r="BH336" s="307"/>
      <c r="BI336" s="307"/>
      <c r="BJ336" s="307"/>
      <c r="BK336" s="307"/>
      <c r="BL336" s="307"/>
      <c r="BM336" s="307"/>
      <c r="BN336" s="307"/>
      <c r="BO336" s="307"/>
      <c r="BP336" s="307"/>
      <c r="BQ336" s="307"/>
      <c r="BR336" s="307"/>
      <c r="BS336" s="307"/>
      <c r="BT336" s="307"/>
      <c r="BU336" s="307"/>
      <c r="BV336" s="307"/>
      <c r="BW336" s="307"/>
      <c r="BX336" s="307"/>
      <c r="BY336" s="307"/>
      <c r="BZ336" s="307"/>
      <c r="CA336" s="307"/>
      <c r="CB336" s="307"/>
      <c r="CC336" s="307"/>
      <c r="CD336" s="307"/>
      <c r="CE336" s="307"/>
      <c r="CF336" s="307"/>
      <c r="CG336" s="307"/>
      <c r="CH336" s="307"/>
      <c r="CI336" s="307"/>
      <c r="CJ336" s="307"/>
      <c r="CK336" s="307"/>
      <c r="CL336" s="307"/>
      <c r="CM336" s="307"/>
      <c r="CN336" s="307"/>
      <c r="CO336" s="307"/>
      <c r="CP336" s="307"/>
      <c r="CQ336" s="307"/>
      <c r="CR336" s="307"/>
      <c r="CS336" s="307"/>
      <c r="CT336" s="307"/>
      <c r="CU336" s="307"/>
      <c r="CV336" s="307"/>
      <c r="CW336" s="307"/>
      <c r="CX336" s="307"/>
      <c r="CY336" s="307"/>
      <c r="CZ336" s="307"/>
      <c r="DA336" s="307"/>
      <c r="DB336" s="280"/>
      <c r="DC336" s="280"/>
      <c r="DD336" s="280"/>
      <c r="DE336" s="280"/>
      <c r="DF336" s="280"/>
      <c r="DG336" s="280"/>
      <c r="DH336" s="280"/>
      <c r="DI336" s="280"/>
      <c r="DJ336" s="280"/>
      <c r="DK336" s="280"/>
      <c r="DL336" s="280"/>
      <c r="DM336" s="280"/>
      <c r="DN336" s="280"/>
      <c r="DO336" s="280"/>
      <c r="DP336" s="280"/>
      <c r="DQ336" s="280"/>
      <c r="DR336" s="280"/>
      <c r="DS336" s="280"/>
      <c r="DT336" s="280"/>
      <c r="DU336" s="280"/>
      <c r="DV336" s="280"/>
      <c r="DW336" s="280"/>
      <c r="DX336" s="280"/>
      <c r="DY336" s="280"/>
      <c r="DZ336" s="280"/>
      <c r="EA336" s="280"/>
      <c r="EB336" s="280"/>
      <c r="EC336" s="280"/>
      <c r="ED336" s="280"/>
      <c r="EE336" s="280"/>
      <c r="EF336" s="280"/>
      <c r="EG336" s="280"/>
      <c r="EH336" s="280"/>
      <c r="EI336" s="280"/>
      <c r="EJ336" s="280"/>
      <c r="EK336" s="280"/>
      <c r="EL336" s="280"/>
      <c r="EM336" s="280"/>
      <c r="EN336" s="280"/>
      <c r="EO336" s="280"/>
      <c r="EP336" s="521"/>
      <c r="EQ336" s="521"/>
      <c r="ER336" s="521"/>
      <c r="ES336" s="521"/>
      <c r="ET336" s="521"/>
      <c r="EU336" s="521"/>
      <c r="EV336" s="521"/>
      <c r="EW336" s="521"/>
      <c r="EX336" s="521"/>
      <c r="EY336" s="521"/>
      <c r="EZ336" s="521"/>
      <c r="FA336" s="521"/>
      <c r="FB336" s="521"/>
      <c r="FC336" s="521"/>
      <c r="FD336" s="521"/>
      <c r="FE336" s="521"/>
      <c r="FF336" s="521"/>
      <c r="FG336" s="521"/>
      <c r="FH336" s="567"/>
      <c r="FI336" s="567"/>
      <c r="FJ336" s="567"/>
      <c r="FK336" s="567"/>
      <c r="FL336" s="567"/>
      <c r="FM336" s="567"/>
      <c r="FN336" s="567"/>
      <c r="FO336" s="567"/>
    </row>
    <row r="337" spans="1:171" s="568" customFormat="1" ht="13.9" customHeight="1">
      <c r="A337" s="566"/>
      <c r="B337" s="566"/>
      <c r="C337" s="566"/>
      <c r="D337" s="569"/>
      <c r="E337" s="570"/>
      <c r="F337" s="571"/>
      <c r="G337" s="571"/>
      <c r="H337" s="571"/>
      <c r="I337" s="571"/>
      <c r="J337" s="571"/>
      <c r="K337" s="572"/>
      <c r="L337" s="569"/>
      <c r="M337" s="569"/>
      <c r="N337" s="569"/>
      <c r="O337" s="569"/>
      <c r="P337" s="566"/>
      <c r="Q337" s="566"/>
      <c r="R337" s="566"/>
      <c r="S337" s="566"/>
      <c r="T337" s="566"/>
      <c r="U337" s="566"/>
      <c r="V337" s="566"/>
      <c r="W337" s="566"/>
      <c r="X337" s="553"/>
      <c r="Y337" s="553"/>
      <c r="Z337" s="553"/>
      <c r="AA337" s="554"/>
      <c r="AB337" s="550"/>
      <c r="AC337" s="550"/>
      <c r="AD337" s="550"/>
      <c r="AE337" s="307"/>
      <c r="AF337" s="307"/>
      <c r="AG337" s="307"/>
      <c r="AH337" s="307"/>
      <c r="AI337" s="307"/>
      <c r="AJ337" s="307"/>
      <c r="AK337" s="307"/>
      <c r="AL337" s="307"/>
      <c r="AM337" s="307"/>
      <c r="AN337" s="307"/>
      <c r="AO337" s="307"/>
      <c r="AP337" s="307"/>
      <c r="AQ337" s="307"/>
      <c r="AR337" s="307"/>
      <c r="AS337" s="307"/>
      <c r="AT337" s="307"/>
      <c r="AU337" s="307"/>
      <c r="AV337" s="307"/>
      <c r="AW337" s="307"/>
      <c r="AX337" s="307"/>
      <c r="AY337" s="307"/>
      <c r="AZ337" s="307"/>
      <c r="BA337" s="307"/>
      <c r="BB337" s="307"/>
      <c r="BC337" s="307"/>
      <c r="BD337" s="307"/>
      <c r="BE337" s="307"/>
      <c r="BF337" s="307"/>
      <c r="BG337" s="307"/>
      <c r="BH337" s="307"/>
      <c r="BI337" s="307"/>
      <c r="BJ337" s="307"/>
      <c r="BK337" s="307"/>
      <c r="BL337" s="307"/>
      <c r="BM337" s="307"/>
      <c r="BN337" s="307"/>
      <c r="BO337" s="307"/>
      <c r="BP337" s="307"/>
      <c r="BQ337" s="307"/>
      <c r="BR337" s="307"/>
      <c r="BS337" s="307"/>
      <c r="BT337" s="307"/>
      <c r="BU337" s="307"/>
      <c r="BV337" s="307"/>
      <c r="BW337" s="307"/>
      <c r="BX337" s="307"/>
      <c r="BY337" s="307"/>
      <c r="BZ337" s="307"/>
      <c r="CA337" s="307"/>
      <c r="CB337" s="307"/>
      <c r="CC337" s="307"/>
      <c r="CD337" s="307"/>
      <c r="CE337" s="307"/>
      <c r="CF337" s="307"/>
      <c r="CG337" s="307"/>
      <c r="CH337" s="307"/>
      <c r="CI337" s="307"/>
      <c r="CJ337" s="307"/>
      <c r="CK337" s="307"/>
      <c r="CL337" s="307"/>
      <c r="CM337" s="307"/>
      <c r="CN337" s="307"/>
      <c r="CO337" s="307"/>
      <c r="CP337" s="307"/>
      <c r="CQ337" s="307"/>
      <c r="CR337" s="307"/>
      <c r="CS337" s="307"/>
      <c r="CT337" s="307"/>
      <c r="CU337" s="307"/>
      <c r="CV337" s="307"/>
      <c r="CW337" s="307"/>
      <c r="CX337" s="307"/>
      <c r="CY337" s="307"/>
      <c r="CZ337" s="307"/>
      <c r="DA337" s="307"/>
      <c r="DB337" s="280"/>
      <c r="DC337" s="280"/>
      <c r="DD337" s="280"/>
      <c r="DE337" s="280"/>
      <c r="DF337" s="280"/>
      <c r="DG337" s="280"/>
      <c r="DH337" s="280"/>
      <c r="DI337" s="280"/>
      <c r="DJ337" s="280"/>
      <c r="DK337" s="280"/>
      <c r="DL337" s="280"/>
      <c r="DM337" s="280"/>
      <c r="DN337" s="280"/>
      <c r="DO337" s="280"/>
      <c r="DP337" s="280"/>
      <c r="DQ337" s="280"/>
      <c r="DR337" s="280"/>
      <c r="DS337" s="280"/>
      <c r="DT337" s="280"/>
      <c r="DU337" s="280"/>
      <c r="DV337" s="280"/>
      <c r="DW337" s="280"/>
      <c r="DX337" s="280"/>
      <c r="DY337" s="280"/>
      <c r="DZ337" s="280"/>
      <c r="EA337" s="280"/>
      <c r="EB337" s="280"/>
      <c r="EC337" s="280"/>
      <c r="ED337" s="280"/>
      <c r="EE337" s="280"/>
      <c r="EF337" s="280"/>
      <c r="EG337" s="280"/>
      <c r="EH337" s="280"/>
      <c r="EI337" s="280"/>
      <c r="EJ337" s="280"/>
      <c r="EK337" s="280"/>
      <c r="EL337" s="280"/>
      <c r="EM337" s="280"/>
      <c r="EN337" s="280"/>
      <c r="EO337" s="280"/>
      <c r="EP337" s="521"/>
      <c r="EQ337" s="521"/>
      <c r="ER337" s="521"/>
      <c r="ES337" s="521"/>
      <c r="ET337" s="521"/>
      <c r="EU337" s="521"/>
      <c r="EV337" s="521"/>
      <c r="EW337" s="521"/>
      <c r="EX337" s="521"/>
      <c r="EY337" s="521"/>
      <c r="EZ337" s="521"/>
      <c r="FA337" s="521"/>
      <c r="FB337" s="521"/>
      <c r="FC337" s="521"/>
      <c r="FD337" s="521"/>
      <c r="FE337" s="521"/>
      <c r="FF337" s="521"/>
      <c r="FG337" s="521"/>
      <c r="FH337" s="567"/>
      <c r="FI337" s="567"/>
      <c r="FJ337" s="567"/>
      <c r="FK337" s="567"/>
      <c r="FL337" s="567"/>
      <c r="FM337" s="567"/>
      <c r="FN337" s="567"/>
      <c r="FO337" s="567"/>
    </row>
    <row r="338" spans="1:171" s="568" customFormat="1" ht="13.9" customHeight="1">
      <c r="A338" s="566"/>
      <c r="B338" s="566"/>
      <c r="C338" s="566"/>
      <c r="D338" s="569"/>
      <c r="E338" s="570"/>
      <c r="F338" s="571"/>
      <c r="G338" s="571"/>
      <c r="H338" s="571"/>
      <c r="I338" s="571"/>
      <c r="J338" s="571"/>
      <c r="K338" s="572"/>
      <c r="L338" s="569"/>
      <c r="M338" s="569"/>
      <c r="N338" s="569"/>
      <c r="O338" s="569"/>
      <c r="P338" s="566"/>
      <c r="Q338" s="566"/>
      <c r="R338" s="566"/>
      <c r="S338" s="566"/>
      <c r="T338" s="566"/>
      <c r="U338" s="566"/>
      <c r="V338" s="566"/>
      <c r="W338" s="566"/>
      <c r="X338" s="553"/>
      <c r="Y338" s="553"/>
      <c r="Z338" s="553"/>
      <c r="AA338" s="554"/>
      <c r="AB338" s="550"/>
      <c r="AC338" s="550"/>
      <c r="AD338" s="550"/>
      <c r="AE338" s="307"/>
      <c r="AF338" s="307"/>
      <c r="AG338" s="307"/>
      <c r="AH338" s="307"/>
      <c r="AI338" s="307"/>
      <c r="AJ338" s="307"/>
      <c r="AK338" s="307"/>
      <c r="AL338" s="307"/>
      <c r="AM338" s="307"/>
      <c r="AN338" s="307"/>
      <c r="AO338" s="307"/>
      <c r="AP338" s="307"/>
      <c r="AQ338" s="307"/>
      <c r="AR338" s="307"/>
      <c r="AS338" s="307"/>
      <c r="AT338" s="307"/>
      <c r="AU338" s="307"/>
      <c r="AV338" s="307"/>
      <c r="AW338" s="307"/>
      <c r="AX338" s="307"/>
      <c r="AY338" s="307"/>
      <c r="AZ338" s="307"/>
      <c r="BA338" s="307"/>
      <c r="BB338" s="307"/>
      <c r="BC338" s="307"/>
      <c r="BD338" s="307"/>
      <c r="BE338" s="307"/>
      <c r="BF338" s="307"/>
      <c r="BG338" s="307"/>
      <c r="BH338" s="307"/>
      <c r="BI338" s="307"/>
      <c r="BJ338" s="307"/>
      <c r="BK338" s="307"/>
      <c r="BL338" s="307"/>
      <c r="BM338" s="307"/>
      <c r="BN338" s="307"/>
      <c r="BO338" s="307"/>
      <c r="BP338" s="307"/>
      <c r="BQ338" s="307"/>
      <c r="BR338" s="307"/>
      <c r="BS338" s="307"/>
      <c r="BT338" s="307"/>
      <c r="BU338" s="307"/>
      <c r="BV338" s="307"/>
      <c r="BW338" s="307"/>
      <c r="BX338" s="307"/>
      <c r="BY338" s="307"/>
      <c r="BZ338" s="307"/>
      <c r="CA338" s="307"/>
      <c r="CB338" s="307"/>
      <c r="CC338" s="307"/>
      <c r="CD338" s="307"/>
      <c r="CE338" s="307"/>
      <c r="CF338" s="307"/>
      <c r="CG338" s="307"/>
      <c r="CH338" s="307"/>
      <c r="CI338" s="307"/>
      <c r="CJ338" s="307"/>
      <c r="CK338" s="307"/>
      <c r="CL338" s="307"/>
      <c r="CM338" s="307"/>
      <c r="CN338" s="307"/>
      <c r="CO338" s="307"/>
      <c r="CP338" s="307"/>
      <c r="CQ338" s="307"/>
      <c r="CR338" s="307"/>
      <c r="CS338" s="307"/>
      <c r="CT338" s="307"/>
      <c r="CU338" s="307"/>
      <c r="CV338" s="307"/>
      <c r="CW338" s="307"/>
      <c r="CX338" s="307"/>
      <c r="CY338" s="307"/>
      <c r="CZ338" s="307"/>
      <c r="DA338" s="307"/>
      <c r="DB338" s="280"/>
      <c r="DC338" s="280"/>
      <c r="DD338" s="280"/>
      <c r="DE338" s="280"/>
      <c r="DF338" s="280"/>
      <c r="DG338" s="280"/>
      <c r="DH338" s="280"/>
      <c r="DI338" s="280"/>
      <c r="DJ338" s="280"/>
      <c r="DK338" s="280"/>
      <c r="DL338" s="280"/>
      <c r="DM338" s="280"/>
      <c r="DN338" s="280"/>
      <c r="DO338" s="280"/>
      <c r="DP338" s="280"/>
      <c r="DQ338" s="280"/>
      <c r="DR338" s="280"/>
      <c r="DS338" s="280"/>
      <c r="DT338" s="280"/>
      <c r="DU338" s="280"/>
      <c r="DV338" s="280"/>
      <c r="DW338" s="280"/>
      <c r="DX338" s="280"/>
      <c r="DY338" s="280"/>
      <c r="DZ338" s="280"/>
      <c r="EA338" s="280"/>
      <c r="EB338" s="280"/>
      <c r="EC338" s="280"/>
      <c r="ED338" s="280"/>
      <c r="EE338" s="280"/>
      <c r="EF338" s="280"/>
      <c r="EG338" s="280"/>
      <c r="EH338" s="280"/>
      <c r="EI338" s="280"/>
      <c r="EJ338" s="280"/>
      <c r="EK338" s="280"/>
      <c r="EL338" s="280"/>
      <c r="EM338" s="280"/>
      <c r="EN338" s="280"/>
      <c r="EO338" s="280"/>
      <c r="EP338" s="521"/>
      <c r="EQ338" s="521"/>
      <c r="ER338" s="521"/>
      <c r="ES338" s="521"/>
      <c r="ET338" s="521"/>
      <c r="EU338" s="521"/>
      <c r="EV338" s="521"/>
      <c r="EW338" s="521"/>
      <c r="EX338" s="521"/>
      <c r="EY338" s="521"/>
      <c r="EZ338" s="521"/>
      <c r="FA338" s="521"/>
      <c r="FB338" s="521"/>
      <c r="FC338" s="521"/>
      <c r="FD338" s="521"/>
      <c r="FE338" s="521"/>
      <c r="FF338" s="521"/>
      <c r="FG338" s="521"/>
      <c r="FH338" s="567"/>
      <c r="FI338" s="567"/>
      <c r="FJ338" s="567"/>
      <c r="FK338" s="567"/>
      <c r="FL338" s="567"/>
      <c r="FM338" s="567"/>
      <c r="FN338" s="567"/>
      <c r="FO338" s="567"/>
    </row>
    <row r="339" spans="1:171" s="568" customFormat="1" ht="13.9" customHeight="1">
      <c r="A339" s="566"/>
      <c r="B339" s="566"/>
      <c r="C339" s="566"/>
      <c r="D339" s="569"/>
      <c r="E339" s="570"/>
      <c r="F339" s="571"/>
      <c r="G339" s="571"/>
      <c r="H339" s="571"/>
      <c r="I339" s="571"/>
      <c r="J339" s="571"/>
      <c r="K339" s="572"/>
      <c r="L339" s="569"/>
      <c r="M339" s="569"/>
      <c r="N339" s="569"/>
      <c r="O339" s="569"/>
      <c r="P339" s="566"/>
      <c r="Q339" s="566"/>
      <c r="R339" s="566"/>
      <c r="S339" s="566"/>
      <c r="T339" s="566"/>
      <c r="U339" s="566"/>
      <c r="V339" s="566"/>
      <c r="W339" s="566"/>
      <c r="X339" s="553"/>
      <c r="Y339" s="553"/>
      <c r="Z339" s="553"/>
      <c r="AA339" s="554"/>
      <c r="AB339" s="550"/>
      <c r="AC339" s="550"/>
      <c r="AD339" s="550"/>
      <c r="AE339" s="307"/>
      <c r="AF339" s="307"/>
      <c r="AG339" s="307"/>
      <c r="AH339" s="307"/>
      <c r="AI339" s="307"/>
      <c r="AJ339" s="307"/>
      <c r="AK339" s="307"/>
      <c r="AL339" s="307"/>
      <c r="AM339" s="307"/>
      <c r="AN339" s="307"/>
      <c r="AO339" s="307"/>
      <c r="AP339" s="307"/>
      <c r="AQ339" s="307"/>
      <c r="AR339" s="307"/>
      <c r="AS339" s="307"/>
      <c r="AT339" s="307"/>
      <c r="AU339" s="307"/>
      <c r="AV339" s="307"/>
      <c r="AW339" s="307"/>
      <c r="AX339" s="307"/>
      <c r="AY339" s="307"/>
      <c r="AZ339" s="307"/>
      <c r="BA339" s="307"/>
      <c r="BB339" s="307"/>
      <c r="BC339" s="307"/>
      <c r="BD339" s="307"/>
      <c r="BE339" s="307"/>
      <c r="BF339" s="307"/>
      <c r="BG339" s="307"/>
      <c r="BH339" s="307"/>
      <c r="BI339" s="307"/>
      <c r="BJ339" s="307"/>
      <c r="BK339" s="307"/>
      <c r="BL339" s="307"/>
      <c r="BM339" s="307"/>
      <c r="BN339" s="307"/>
      <c r="BO339" s="307"/>
      <c r="BP339" s="307"/>
      <c r="BQ339" s="307"/>
      <c r="BR339" s="307"/>
      <c r="BS339" s="307"/>
      <c r="BT339" s="307"/>
      <c r="BU339" s="307"/>
      <c r="BV339" s="307"/>
      <c r="BW339" s="307"/>
      <c r="BX339" s="307"/>
      <c r="BY339" s="307"/>
      <c r="BZ339" s="307"/>
      <c r="CA339" s="307"/>
      <c r="CB339" s="307"/>
      <c r="CC339" s="307"/>
      <c r="CD339" s="307"/>
      <c r="CE339" s="307"/>
      <c r="CF339" s="307"/>
      <c r="CG339" s="307"/>
      <c r="CH339" s="307"/>
      <c r="CI339" s="307"/>
      <c r="CJ339" s="307"/>
      <c r="CK339" s="307"/>
      <c r="CL339" s="307"/>
      <c r="CM339" s="307"/>
      <c r="CN339" s="307"/>
      <c r="CO339" s="307"/>
      <c r="CP339" s="307"/>
      <c r="CQ339" s="307"/>
      <c r="CR339" s="307"/>
      <c r="CS339" s="307"/>
      <c r="CT339" s="307"/>
      <c r="CU339" s="307"/>
      <c r="CV339" s="307"/>
      <c r="CW339" s="307"/>
      <c r="CX339" s="307"/>
      <c r="CY339" s="307"/>
      <c r="CZ339" s="307"/>
      <c r="DA339" s="307"/>
      <c r="DB339" s="280"/>
      <c r="DC339" s="280"/>
      <c r="DD339" s="280"/>
      <c r="DE339" s="280"/>
      <c r="DF339" s="280"/>
      <c r="DG339" s="280"/>
      <c r="DH339" s="280"/>
      <c r="DI339" s="280"/>
      <c r="DJ339" s="280"/>
      <c r="DK339" s="280"/>
      <c r="DL339" s="280"/>
      <c r="DM339" s="280"/>
      <c r="DN339" s="280"/>
      <c r="DO339" s="280"/>
      <c r="DP339" s="280"/>
      <c r="DQ339" s="280"/>
      <c r="DR339" s="280"/>
      <c r="DS339" s="280"/>
      <c r="DT339" s="280"/>
      <c r="DU339" s="280"/>
      <c r="DV339" s="280"/>
      <c r="DW339" s="280"/>
      <c r="DX339" s="280"/>
      <c r="DY339" s="280"/>
      <c r="DZ339" s="280"/>
      <c r="EA339" s="280"/>
      <c r="EB339" s="280"/>
      <c r="EC339" s="280"/>
      <c r="ED339" s="280"/>
      <c r="EE339" s="280"/>
      <c r="EF339" s="280"/>
      <c r="EG339" s="280"/>
      <c r="EH339" s="280"/>
      <c r="EI339" s="280"/>
      <c r="EJ339" s="280"/>
      <c r="EK339" s="280"/>
      <c r="EL339" s="280"/>
      <c r="EM339" s="280"/>
      <c r="EN339" s="280"/>
      <c r="EO339" s="280"/>
      <c r="EP339" s="521"/>
      <c r="EQ339" s="521"/>
      <c r="ER339" s="521"/>
      <c r="ES339" s="521"/>
      <c r="ET339" s="521"/>
      <c r="EU339" s="521"/>
      <c r="EV339" s="521"/>
      <c r="EW339" s="521"/>
      <c r="EX339" s="521"/>
      <c r="EY339" s="521"/>
      <c r="EZ339" s="521"/>
      <c r="FA339" s="521"/>
      <c r="FB339" s="521"/>
      <c r="FC339" s="521"/>
      <c r="FD339" s="521"/>
      <c r="FE339" s="521"/>
      <c r="FF339" s="521"/>
      <c r="FG339" s="521"/>
      <c r="FH339" s="567"/>
      <c r="FI339" s="567"/>
      <c r="FJ339" s="567"/>
      <c r="FK339" s="567"/>
      <c r="FL339" s="567"/>
      <c r="FM339" s="567"/>
      <c r="FN339" s="567"/>
      <c r="FO339" s="567"/>
    </row>
    <row r="340" spans="1:171" s="568" customFormat="1" ht="13.9" customHeight="1">
      <c r="A340" s="566"/>
      <c r="B340" s="566"/>
      <c r="C340" s="566"/>
      <c r="D340" s="569"/>
      <c r="E340" s="570"/>
      <c r="F340" s="571"/>
      <c r="G340" s="571"/>
      <c r="H340" s="571"/>
      <c r="I340" s="571"/>
      <c r="J340" s="571"/>
      <c r="K340" s="572"/>
      <c r="L340" s="569"/>
      <c r="M340" s="569"/>
      <c r="N340" s="569"/>
      <c r="O340" s="569"/>
      <c r="P340" s="566"/>
      <c r="Q340" s="566"/>
      <c r="R340" s="566"/>
      <c r="S340" s="566"/>
      <c r="T340" s="566"/>
      <c r="U340" s="566"/>
      <c r="V340" s="566"/>
      <c r="W340" s="566"/>
      <c r="X340" s="553"/>
      <c r="Y340" s="553"/>
      <c r="Z340" s="553"/>
      <c r="AA340" s="554"/>
      <c r="AB340" s="550"/>
      <c r="AC340" s="550"/>
      <c r="AD340" s="550"/>
      <c r="AE340" s="307"/>
      <c r="AF340" s="307"/>
      <c r="AG340" s="307"/>
      <c r="AH340" s="307"/>
      <c r="AI340" s="307"/>
      <c r="AJ340" s="307"/>
      <c r="AK340" s="307"/>
      <c r="AL340" s="307"/>
      <c r="AM340" s="307"/>
      <c r="AN340" s="307"/>
      <c r="AO340" s="307"/>
      <c r="AP340" s="307"/>
      <c r="AQ340" s="307"/>
      <c r="AR340" s="307"/>
      <c r="AS340" s="307"/>
      <c r="AT340" s="307"/>
      <c r="AU340" s="307"/>
      <c r="AV340" s="307"/>
      <c r="AW340" s="307"/>
      <c r="AX340" s="307"/>
      <c r="AY340" s="307"/>
      <c r="AZ340" s="307"/>
      <c r="BA340" s="307"/>
      <c r="BB340" s="307"/>
      <c r="BC340" s="307"/>
      <c r="BD340" s="307"/>
      <c r="BE340" s="307"/>
      <c r="BF340" s="307"/>
      <c r="BG340" s="307"/>
      <c r="BH340" s="307"/>
      <c r="BI340" s="307"/>
      <c r="BJ340" s="307"/>
      <c r="BK340" s="307"/>
      <c r="BL340" s="307"/>
      <c r="BM340" s="307"/>
      <c r="BN340" s="307"/>
      <c r="BO340" s="307"/>
      <c r="BP340" s="307"/>
      <c r="BQ340" s="307"/>
      <c r="BR340" s="307"/>
      <c r="BS340" s="307"/>
      <c r="BT340" s="307"/>
      <c r="BU340" s="307"/>
      <c r="BV340" s="307"/>
      <c r="BW340" s="307"/>
      <c r="BX340" s="307"/>
      <c r="BY340" s="307"/>
      <c r="BZ340" s="307"/>
      <c r="CA340" s="307"/>
      <c r="CB340" s="307"/>
      <c r="CC340" s="307"/>
      <c r="CD340" s="307"/>
      <c r="CE340" s="307"/>
      <c r="CF340" s="307"/>
      <c r="CG340" s="307"/>
      <c r="CH340" s="307"/>
      <c r="CI340" s="307"/>
      <c r="CJ340" s="307"/>
      <c r="CK340" s="307"/>
      <c r="CL340" s="307"/>
      <c r="CM340" s="307"/>
      <c r="CN340" s="307"/>
      <c r="CO340" s="307"/>
      <c r="CP340" s="307"/>
      <c r="CQ340" s="307"/>
      <c r="CR340" s="307"/>
      <c r="CS340" s="307"/>
      <c r="CT340" s="307"/>
      <c r="CU340" s="307"/>
      <c r="CV340" s="307"/>
      <c r="CW340" s="307"/>
      <c r="CX340" s="307"/>
      <c r="CY340" s="307"/>
      <c r="CZ340" s="307"/>
      <c r="DA340" s="307"/>
      <c r="DB340" s="280"/>
      <c r="DC340" s="280"/>
      <c r="DD340" s="280"/>
      <c r="DE340" s="280"/>
      <c r="DF340" s="280"/>
      <c r="DG340" s="280"/>
      <c r="DH340" s="280"/>
      <c r="DI340" s="280"/>
      <c r="DJ340" s="280"/>
      <c r="DK340" s="280"/>
      <c r="DL340" s="280"/>
      <c r="DM340" s="280"/>
      <c r="DN340" s="280"/>
      <c r="DO340" s="280"/>
      <c r="DP340" s="280"/>
      <c r="DQ340" s="280"/>
      <c r="DR340" s="280"/>
      <c r="DS340" s="280"/>
      <c r="DT340" s="280"/>
      <c r="DU340" s="280"/>
      <c r="DV340" s="280"/>
      <c r="DW340" s="280"/>
      <c r="DX340" s="280"/>
      <c r="DY340" s="280"/>
      <c r="DZ340" s="280"/>
      <c r="EA340" s="280"/>
      <c r="EB340" s="280"/>
      <c r="EC340" s="280"/>
      <c r="ED340" s="280"/>
      <c r="EE340" s="280"/>
      <c r="EF340" s="280"/>
      <c r="EG340" s="280"/>
      <c r="EH340" s="280"/>
      <c r="EI340" s="280"/>
      <c r="EJ340" s="280"/>
      <c r="EK340" s="280"/>
      <c r="EL340" s="280"/>
      <c r="EM340" s="280"/>
      <c r="EN340" s="280"/>
      <c r="EO340" s="280"/>
      <c r="EP340" s="521"/>
      <c r="EQ340" s="521"/>
      <c r="ER340" s="521"/>
      <c r="ES340" s="521"/>
      <c r="ET340" s="521"/>
      <c r="EU340" s="521"/>
      <c r="EV340" s="521"/>
      <c r="EW340" s="521"/>
      <c r="EX340" s="521"/>
      <c r="EY340" s="521"/>
      <c r="EZ340" s="521"/>
      <c r="FA340" s="521"/>
      <c r="FB340" s="521"/>
      <c r="FC340" s="521"/>
      <c r="FD340" s="521"/>
      <c r="FE340" s="521"/>
      <c r="FF340" s="521"/>
      <c r="FG340" s="521"/>
      <c r="FH340" s="567"/>
      <c r="FI340" s="567"/>
      <c r="FJ340" s="567"/>
      <c r="FK340" s="567"/>
      <c r="FL340" s="567"/>
      <c r="FM340" s="567"/>
      <c r="FN340" s="567"/>
      <c r="FO340" s="567"/>
    </row>
    <row r="341" spans="1:171" s="568" customFormat="1" ht="13.9" customHeight="1">
      <c r="A341" s="566"/>
      <c r="B341" s="566"/>
      <c r="C341" s="566"/>
      <c r="D341" s="569"/>
      <c r="E341" s="570"/>
      <c r="F341" s="571"/>
      <c r="G341" s="571"/>
      <c r="H341" s="571"/>
      <c r="I341" s="571"/>
      <c r="J341" s="571"/>
      <c r="K341" s="572"/>
      <c r="L341" s="569"/>
      <c r="M341" s="569"/>
      <c r="N341" s="569"/>
      <c r="O341" s="569"/>
      <c r="P341" s="566"/>
      <c r="Q341" s="566"/>
      <c r="R341" s="566"/>
      <c r="S341" s="566"/>
      <c r="T341" s="566"/>
      <c r="U341" s="566"/>
      <c r="V341" s="566"/>
      <c r="W341" s="566"/>
      <c r="X341" s="553"/>
      <c r="Y341" s="553"/>
      <c r="Z341" s="553"/>
      <c r="AA341" s="554"/>
      <c r="AB341" s="550"/>
      <c r="AC341" s="550"/>
      <c r="AD341" s="550"/>
      <c r="AE341" s="307"/>
      <c r="AF341" s="307"/>
      <c r="AG341" s="307"/>
      <c r="AH341" s="307"/>
      <c r="AI341" s="307"/>
      <c r="AJ341" s="307"/>
      <c r="AK341" s="307"/>
      <c r="AL341" s="307"/>
      <c r="AM341" s="307"/>
      <c r="AN341" s="307"/>
      <c r="AO341" s="307"/>
      <c r="AP341" s="307"/>
      <c r="AQ341" s="307"/>
      <c r="AR341" s="307"/>
      <c r="AS341" s="307"/>
      <c r="AT341" s="307"/>
      <c r="AU341" s="307"/>
      <c r="AV341" s="307"/>
      <c r="AW341" s="307"/>
      <c r="AX341" s="307"/>
      <c r="AY341" s="307"/>
      <c r="AZ341" s="307"/>
      <c r="BA341" s="307"/>
      <c r="BB341" s="307"/>
      <c r="BC341" s="307"/>
      <c r="BD341" s="307"/>
      <c r="BE341" s="307"/>
      <c r="BF341" s="307"/>
      <c r="BG341" s="307"/>
      <c r="BH341" s="307"/>
      <c r="BI341" s="307"/>
      <c r="BJ341" s="307"/>
      <c r="BK341" s="307"/>
      <c r="BL341" s="307"/>
      <c r="BM341" s="307"/>
      <c r="BN341" s="307"/>
      <c r="BO341" s="307"/>
      <c r="BP341" s="307"/>
      <c r="BQ341" s="307"/>
      <c r="BR341" s="307"/>
      <c r="BS341" s="307"/>
      <c r="BT341" s="307"/>
      <c r="BU341" s="307"/>
      <c r="BV341" s="307"/>
      <c r="BW341" s="307"/>
      <c r="BX341" s="307"/>
      <c r="BY341" s="307"/>
      <c r="BZ341" s="307"/>
      <c r="CA341" s="307"/>
      <c r="CB341" s="307"/>
      <c r="CC341" s="307"/>
      <c r="CD341" s="307"/>
      <c r="CE341" s="307"/>
      <c r="CF341" s="307"/>
      <c r="CG341" s="307"/>
      <c r="CH341" s="307"/>
      <c r="CI341" s="307"/>
      <c r="CJ341" s="307"/>
      <c r="CK341" s="307"/>
      <c r="CL341" s="307"/>
      <c r="CM341" s="307"/>
      <c r="CN341" s="307"/>
      <c r="CO341" s="307"/>
      <c r="CP341" s="307"/>
      <c r="CQ341" s="307"/>
      <c r="CR341" s="307"/>
      <c r="CS341" s="307"/>
      <c r="CT341" s="307"/>
      <c r="CU341" s="307"/>
      <c r="CV341" s="307"/>
      <c r="CW341" s="307"/>
      <c r="CX341" s="307"/>
      <c r="CY341" s="307"/>
      <c r="CZ341" s="307"/>
      <c r="DA341" s="307"/>
      <c r="DB341" s="280"/>
      <c r="DC341" s="280"/>
      <c r="DD341" s="280"/>
      <c r="DE341" s="280"/>
      <c r="DF341" s="280"/>
      <c r="DG341" s="280"/>
      <c r="DH341" s="280"/>
      <c r="DI341" s="280"/>
      <c r="DJ341" s="280"/>
      <c r="DK341" s="280"/>
      <c r="DL341" s="280"/>
      <c r="DM341" s="280"/>
      <c r="DN341" s="280"/>
      <c r="DO341" s="280"/>
      <c r="DP341" s="280"/>
      <c r="DQ341" s="280"/>
      <c r="DR341" s="280"/>
      <c r="DS341" s="280"/>
      <c r="DT341" s="280"/>
      <c r="DU341" s="280"/>
      <c r="DV341" s="280"/>
      <c r="DW341" s="280"/>
      <c r="DX341" s="280"/>
      <c r="DY341" s="280"/>
      <c r="DZ341" s="280"/>
      <c r="EA341" s="280"/>
      <c r="EB341" s="280"/>
      <c r="EC341" s="280"/>
      <c r="ED341" s="280"/>
      <c r="EE341" s="280"/>
      <c r="EF341" s="280"/>
      <c r="EG341" s="280"/>
      <c r="EH341" s="280"/>
      <c r="EI341" s="280"/>
      <c r="EJ341" s="280"/>
      <c r="EK341" s="280"/>
      <c r="EL341" s="280"/>
      <c r="EM341" s="280"/>
      <c r="EN341" s="280"/>
      <c r="EO341" s="280"/>
      <c r="EP341" s="521"/>
      <c r="EQ341" s="521"/>
      <c r="ER341" s="521"/>
      <c r="ES341" s="521"/>
      <c r="ET341" s="521"/>
      <c r="EU341" s="521"/>
      <c r="EV341" s="521"/>
      <c r="EW341" s="521"/>
      <c r="EX341" s="521"/>
      <c r="EY341" s="521"/>
      <c r="EZ341" s="521"/>
      <c r="FA341" s="521"/>
      <c r="FB341" s="521"/>
      <c r="FC341" s="521"/>
      <c r="FD341" s="521"/>
      <c r="FE341" s="521"/>
      <c r="FF341" s="521"/>
      <c r="FG341" s="521"/>
      <c r="FH341" s="567"/>
      <c r="FI341" s="567"/>
      <c r="FJ341" s="567"/>
      <c r="FK341" s="567"/>
      <c r="FL341" s="567"/>
      <c r="FM341" s="567"/>
      <c r="FN341" s="567"/>
      <c r="FO341" s="567"/>
    </row>
    <row r="342" spans="1:171" s="568" customFormat="1" ht="13.9" customHeight="1">
      <c r="A342" s="566"/>
      <c r="B342" s="566"/>
      <c r="C342" s="566"/>
      <c r="D342" s="569"/>
      <c r="E342" s="570"/>
      <c r="F342" s="571"/>
      <c r="G342" s="571"/>
      <c r="H342" s="571"/>
      <c r="I342" s="571"/>
      <c r="J342" s="571"/>
      <c r="K342" s="572"/>
      <c r="L342" s="569"/>
      <c r="M342" s="569"/>
      <c r="N342" s="569"/>
      <c r="O342" s="569"/>
      <c r="P342" s="566"/>
      <c r="Q342" s="566"/>
      <c r="R342" s="566"/>
      <c r="S342" s="566"/>
      <c r="T342" s="566"/>
      <c r="U342" s="566"/>
      <c r="V342" s="566"/>
      <c r="W342" s="566"/>
      <c r="X342" s="553"/>
      <c r="Y342" s="553"/>
      <c r="Z342" s="553"/>
      <c r="AA342" s="554"/>
      <c r="AB342" s="550"/>
      <c r="AC342" s="550"/>
      <c r="AD342" s="550"/>
      <c r="AE342" s="307"/>
      <c r="AF342" s="307"/>
      <c r="AG342" s="307"/>
      <c r="AH342" s="307"/>
      <c r="AI342" s="307"/>
      <c r="AJ342" s="307"/>
      <c r="AK342" s="307"/>
      <c r="AL342" s="307"/>
      <c r="AM342" s="307"/>
      <c r="AN342" s="307"/>
      <c r="AO342" s="307"/>
      <c r="AP342" s="307"/>
      <c r="AQ342" s="307"/>
      <c r="AR342" s="307"/>
      <c r="AS342" s="307"/>
      <c r="AT342" s="307"/>
      <c r="AU342" s="307"/>
      <c r="AV342" s="307"/>
      <c r="AW342" s="307"/>
      <c r="AX342" s="307"/>
      <c r="AY342" s="307"/>
      <c r="AZ342" s="307"/>
      <c r="BA342" s="307"/>
      <c r="BB342" s="307"/>
      <c r="BC342" s="307"/>
      <c r="BD342" s="307"/>
      <c r="BE342" s="307"/>
      <c r="BF342" s="307"/>
      <c r="BG342" s="307"/>
      <c r="BH342" s="307"/>
      <c r="BI342" s="307"/>
      <c r="BJ342" s="307"/>
      <c r="BK342" s="307"/>
      <c r="BL342" s="307"/>
      <c r="BM342" s="307"/>
      <c r="BN342" s="307"/>
      <c r="BO342" s="307"/>
      <c r="BP342" s="307"/>
      <c r="BQ342" s="307"/>
      <c r="BR342" s="307"/>
      <c r="BS342" s="307"/>
      <c r="BT342" s="307"/>
      <c r="BU342" s="307"/>
      <c r="BV342" s="307"/>
      <c r="BW342" s="307"/>
      <c r="BX342" s="307"/>
      <c r="BY342" s="307"/>
      <c r="BZ342" s="307"/>
      <c r="CA342" s="307"/>
      <c r="CB342" s="307"/>
      <c r="CC342" s="307"/>
      <c r="CD342" s="307"/>
      <c r="CE342" s="307"/>
      <c r="CF342" s="307"/>
      <c r="CG342" s="307"/>
      <c r="CH342" s="307"/>
      <c r="CI342" s="307"/>
      <c r="CJ342" s="307"/>
      <c r="CK342" s="307"/>
      <c r="CL342" s="307"/>
      <c r="CM342" s="307"/>
      <c r="CN342" s="307"/>
      <c r="CO342" s="307"/>
      <c r="CP342" s="307"/>
      <c r="CQ342" s="307"/>
      <c r="CR342" s="307"/>
      <c r="CS342" s="307"/>
      <c r="CT342" s="307"/>
      <c r="CU342" s="307"/>
      <c r="CV342" s="307"/>
      <c r="CW342" s="307"/>
      <c r="CX342" s="307"/>
      <c r="CY342" s="307"/>
      <c r="CZ342" s="307"/>
      <c r="DA342" s="307"/>
      <c r="DB342" s="280"/>
      <c r="DC342" s="280"/>
      <c r="DD342" s="280"/>
      <c r="DE342" s="280"/>
      <c r="DF342" s="280"/>
      <c r="DG342" s="280"/>
      <c r="DH342" s="280"/>
      <c r="DI342" s="280"/>
      <c r="DJ342" s="280"/>
      <c r="DK342" s="280"/>
      <c r="DL342" s="280"/>
      <c r="DM342" s="280"/>
      <c r="DN342" s="280"/>
      <c r="DO342" s="280"/>
      <c r="DP342" s="280"/>
      <c r="DQ342" s="280"/>
      <c r="DR342" s="280"/>
      <c r="DS342" s="280"/>
      <c r="DT342" s="280"/>
      <c r="DU342" s="280"/>
      <c r="DV342" s="280"/>
      <c r="DW342" s="280"/>
      <c r="DX342" s="280"/>
      <c r="DY342" s="280"/>
      <c r="DZ342" s="280"/>
      <c r="EA342" s="280"/>
      <c r="EB342" s="280"/>
      <c r="EC342" s="280"/>
      <c r="ED342" s="280"/>
      <c r="EE342" s="280"/>
      <c r="EF342" s="280"/>
      <c r="EG342" s="280"/>
      <c r="EH342" s="280"/>
      <c r="EI342" s="280"/>
      <c r="EJ342" s="280"/>
      <c r="EK342" s="280"/>
      <c r="EL342" s="280"/>
      <c r="EM342" s="280"/>
      <c r="EN342" s="280"/>
      <c r="EO342" s="280"/>
      <c r="EP342" s="521"/>
      <c r="EQ342" s="521"/>
      <c r="ER342" s="521"/>
      <c r="ES342" s="521"/>
      <c r="ET342" s="521"/>
      <c r="EU342" s="521"/>
      <c r="EV342" s="521"/>
      <c r="EW342" s="521"/>
      <c r="EX342" s="521"/>
      <c r="EY342" s="521"/>
      <c r="EZ342" s="521"/>
      <c r="FA342" s="521"/>
      <c r="FB342" s="521"/>
      <c r="FC342" s="521"/>
      <c r="FD342" s="521"/>
      <c r="FE342" s="521"/>
      <c r="FF342" s="521"/>
      <c r="FG342" s="521"/>
      <c r="FH342" s="567"/>
      <c r="FI342" s="567"/>
      <c r="FJ342" s="567"/>
      <c r="FK342" s="567"/>
      <c r="FL342" s="567"/>
      <c r="FM342" s="567"/>
      <c r="FN342" s="567"/>
      <c r="FO342" s="567"/>
    </row>
    <row r="343" spans="1:171" s="568" customFormat="1" ht="13.9" customHeight="1">
      <c r="A343" s="566"/>
      <c r="B343" s="566"/>
      <c r="C343" s="566"/>
      <c r="D343" s="569"/>
      <c r="E343" s="570"/>
      <c r="F343" s="571"/>
      <c r="G343" s="571"/>
      <c r="H343" s="571"/>
      <c r="I343" s="571"/>
      <c r="J343" s="571"/>
      <c r="K343" s="572"/>
      <c r="L343" s="569"/>
      <c r="M343" s="569"/>
      <c r="N343" s="569"/>
      <c r="O343" s="569"/>
      <c r="P343" s="566"/>
      <c r="Q343" s="566"/>
      <c r="R343" s="566"/>
      <c r="S343" s="566"/>
      <c r="T343" s="566"/>
      <c r="U343" s="566"/>
      <c r="V343" s="566"/>
      <c r="W343" s="566"/>
      <c r="X343" s="553"/>
      <c r="Y343" s="553"/>
      <c r="Z343" s="553"/>
      <c r="AA343" s="554"/>
      <c r="AB343" s="550"/>
      <c r="AC343" s="550"/>
      <c r="AD343" s="550"/>
      <c r="AE343" s="307"/>
      <c r="AF343" s="307"/>
      <c r="AG343" s="307"/>
      <c r="AH343" s="307"/>
      <c r="AI343" s="307"/>
      <c r="AJ343" s="307"/>
      <c r="AK343" s="307"/>
      <c r="AL343" s="307"/>
      <c r="AM343" s="307"/>
      <c r="AN343" s="307"/>
      <c r="AO343" s="307"/>
      <c r="AP343" s="307"/>
      <c r="AQ343" s="307"/>
      <c r="AR343" s="307"/>
      <c r="AS343" s="307"/>
      <c r="AT343" s="307"/>
      <c r="AU343" s="307"/>
      <c r="AV343" s="307"/>
      <c r="AW343" s="307"/>
      <c r="AX343" s="307"/>
      <c r="AY343" s="307"/>
      <c r="AZ343" s="307"/>
      <c r="BA343" s="307"/>
      <c r="BB343" s="307"/>
      <c r="BC343" s="307"/>
      <c r="BD343" s="307"/>
      <c r="BE343" s="307"/>
      <c r="BF343" s="307"/>
      <c r="BG343" s="307"/>
      <c r="BH343" s="307"/>
      <c r="BI343" s="307"/>
      <c r="BJ343" s="307"/>
      <c r="BK343" s="307"/>
      <c r="BL343" s="307"/>
      <c r="BM343" s="307"/>
      <c r="BN343" s="307"/>
      <c r="BO343" s="307"/>
      <c r="BP343" s="307"/>
      <c r="BQ343" s="307"/>
      <c r="BR343" s="307"/>
      <c r="BS343" s="307"/>
      <c r="BT343" s="307"/>
      <c r="BU343" s="307"/>
      <c r="BV343" s="307"/>
      <c r="BW343" s="307"/>
      <c r="BX343" s="307"/>
      <c r="BY343" s="307"/>
      <c r="BZ343" s="307"/>
      <c r="CA343" s="307"/>
      <c r="CB343" s="307"/>
      <c r="CC343" s="307"/>
      <c r="CD343" s="307"/>
      <c r="CE343" s="307"/>
      <c r="CF343" s="307"/>
      <c r="CG343" s="307"/>
      <c r="CH343" s="307"/>
      <c r="CI343" s="307"/>
      <c r="CJ343" s="307"/>
      <c r="CK343" s="307"/>
      <c r="CL343" s="307"/>
      <c r="CM343" s="307"/>
      <c r="CN343" s="307"/>
      <c r="CO343" s="307"/>
      <c r="CP343" s="307"/>
      <c r="CQ343" s="307"/>
      <c r="CR343" s="307"/>
      <c r="CS343" s="307"/>
      <c r="CT343" s="307"/>
      <c r="CU343" s="307"/>
      <c r="CV343" s="307"/>
      <c r="CW343" s="307"/>
      <c r="CX343" s="307"/>
      <c r="CY343" s="307"/>
      <c r="CZ343" s="307"/>
      <c r="DA343" s="307"/>
      <c r="DB343" s="280"/>
      <c r="DC343" s="280"/>
      <c r="DD343" s="280"/>
      <c r="DE343" s="280"/>
      <c r="DF343" s="280"/>
      <c r="DG343" s="280"/>
      <c r="DH343" s="280"/>
      <c r="DI343" s="280"/>
      <c r="DJ343" s="280"/>
      <c r="DK343" s="280"/>
      <c r="DL343" s="280"/>
      <c r="DM343" s="280"/>
      <c r="DN343" s="280"/>
      <c r="DO343" s="280"/>
      <c r="DP343" s="280"/>
      <c r="DQ343" s="280"/>
      <c r="DR343" s="280"/>
      <c r="DS343" s="280"/>
      <c r="DT343" s="280"/>
      <c r="DU343" s="280"/>
      <c r="DV343" s="280"/>
      <c r="DW343" s="280"/>
      <c r="DX343" s="280"/>
      <c r="DY343" s="280"/>
      <c r="DZ343" s="280"/>
      <c r="EA343" s="280"/>
      <c r="EB343" s="280"/>
      <c r="EC343" s="280"/>
      <c r="ED343" s="280"/>
      <c r="EE343" s="280"/>
      <c r="EF343" s="280"/>
      <c r="EG343" s="280"/>
      <c r="EH343" s="280"/>
      <c r="EI343" s="280"/>
      <c r="EJ343" s="280"/>
      <c r="EK343" s="280"/>
      <c r="EL343" s="280"/>
      <c r="EM343" s="280"/>
      <c r="EN343" s="280"/>
      <c r="EO343" s="280"/>
      <c r="EP343" s="521"/>
      <c r="EQ343" s="521"/>
      <c r="ER343" s="521"/>
      <c r="ES343" s="521"/>
      <c r="ET343" s="521"/>
      <c r="EU343" s="521"/>
      <c r="EV343" s="521"/>
      <c r="EW343" s="521"/>
      <c r="EX343" s="521"/>
      <c r="EY343" s="521"/>
      <c r="EZ343" s="521"/>
      <c r="FA343" s="521"/>
      <c r="FB343" s="521"/>
      <c r="FC343" s="521"/>
      <c r="FD343" s="521"/>
      <c r="FE343" s="521"/>
      <c r="FF343" s="521"/>
      <c r="FG343" s="521"/>
      <c r="FH343" s="567"/>
      <c r="FI343" s="567"/>
      <c r="FJ343" s="567"/>
      <c r="FK343" s="567"/>
      <c r="FL343" s="567"/>
      <c r="FM343" s="567"/>
      <c r="FN343" s="567"/>
      <c r="FO343" s="567"/>
    </row>
    <row r="344" spans="1:171" s="568" customFormat="1" ht="13.9" customHeight="1">
      <c r="A344" s="566"/>
      <c r="B344" s="566"/>
      <c r="C344" s="566"/>
      <c r="D344" s="569"/>
      <c r="E344" s="570"/>
      <c r="F344" s="571"/>
      <c r="G344" s="571"/>
      <c r="H344" s="571"/>
      <c r="I344" s="571"/>
      <c r="J344" s="571"/>
      <c r="K344" s="572"/>
      <c r="L344" s="569"/>
      <c r="M344" s="569"/>
      <c r="N344" s="569"/>
      <c r="O344" s="569"/>
      <c r="P344" s="566"/>
      <c r="Q344" s="566"/>
      <c r="R344" s="566"/>
      <c r="S344" s="566"/>
      <c r="T344" s="566"/>
      <c r="U344" s="566"/>
      <c r="V344" s="566"/>
      <c r="W344" s="566"/>
      <c r="X344" s="553"/>
      <c r="Y344" s="553"/>
      <c r="Z344" s="553"/>
      <c r="AA344" s="554"/>
      <c r="AB344" s="550"/>
      <c r="AC344" s="550"/>
      <c r="AD344" s="550"/>
      <c r="AE344" s="307"/>
      <c r="AF344" s="307"/>
      <c r="AG344" s="307"/>
      <c r="AH344" s="307"/>
      <c r="AI344" s="307"/>
      <c r="AJ344" s="307"/>
      <c r="AK344" s="307"/>
      <c r="AL344" s="307"/>
      <c r="AM344" s="307"/>
      <c r="AN344" s="307"/>
      <c r="AO344" s="307"/>
      <c r="AP344" s="307"/>
      <c r="AQ344" s="307"/>
      <c r="AR344" s="307"/>
      <c r="AS344" s="307"/>
      <c r="AT344" s="307"/>
      <c r="AU344" s="307"/>
      <c r="AV344" s="307"/>
      <c r="AW344" s="307"/>
      <c r="AX344" s="307"/>
      <c r="AY344" s="307"/>
      <c r="AZ344" s="307"/>
      <c r="BA344" s="307"/>
      <c r="BB344" s="307"/>
      <c r="BC344" s="307"/>
      <c r="BD344" s="307"/>
      <c r="BE344" s="307"/>
      <c r="BF344" s="307"/>
      <c r="BG344" s="307"/>
      <c r="BH344" s="307"/>
      <c r="BI344" s="307"/>
      <c r="BJ344" s="307"/>
      <c r="BK344" s="307"/>
      <c r="BL344" s="307"/>
      <c r="BM344" s="307"/>
      <c r="BN344" s="307"/>
      <c r="BO344" s="307"/>
      <c r="BP344" s="307"/>
      <c r="BQ344" s="307"/>
      <c r="BR344" s="307"/>
      <c r="BS344" s="307"/>
      <c r="BT344" s="307"/>
      <c r="BU344" s="307"/>
      <c r="BV344" s="307"/>
      <c r="BW344" s="307"/>
      <c r="BX344" s="307"/>
      <c r="BY344" s="307"/>
      <c r="BZ344" s="307"/>
      <c r="CA344" s="307"/>
      <c r="CB344" s="307"/>
      <c r="CC344" s="307"/>
      <c r="CD344" s="307"/>
      <c r="CE344" s="307"/>
      <c r="CF344" s="307"/>
      <c r="CG344" s="307"/>
      <c r="CH344" s="307"/>
      <c r="CI344" s="307"/>
      <c r="CJ344" s="307"/>
      <c r="CK344" s="307"/>
      <c r="CL344" s="307"/>
      <c r="CM344" s="307"/>
      <c r="CN344" s="307"/>
      <c r="CO344" s="307"/>
      <c r="CP344" s="307"/>
      <c r="CQ344" s="307"/>
      <c r="CR344" s="307"/>
      <c r="CS344" s="307"/>
      <c r="CT344" s="307"/>
      <c r="CU344" s="307"/>
      <c r="CV344" s="307"/>
      <c r="CW344" s="307"/>
      <c r="CX344" s="307"/>
      <c r="CY344" s="307"/>
      <c r="CZ344" s="307"/>
      <c r="DA344" s="307"/>
      <c r="DB344" s="280"/>
      <c r="DC344" s="280"/>
      <c r="DD344" s="280"/>
      <c r="DE344" s="280"/>
      <c r="DF344" s="280"/>
      <c r="DG344" s="280"/>
      <c r="DH344" s="280"/>
      <c r="DI344" s="280"/>
      <c r="DJ344" s="280"/>
      <c r="DK344" s="280"/>
      <c r="DL344" s="280"/>
      <c r="DM344" s="280"/>
      <c r="DN344" s="280"/>
      <c r="DO344" s="280"/>
      <c r="DP344" s="280"/>
      <c r="DQ344" s="280"/>
      <c r="DR344" s="280"/>
      <c r="DS344" s="280"/>
      <c r="DT344" s="280"/>
      <c r="DU344" s="280"/>
      <c r="DV344" s="280"/>
      <c r="DW344" s="280"/>
      <c r="DX344" s="280"/>
      <c r="DY344" s="280"/>
      <c r="DZ344" s="280"/>
      <c r="EA344" s="280"/>
      <c r="EB344" s="280"/>
      <c r="EC344" s="280"/>
      <c r="ED344" s="280"/>
      <c r="EE344" s="280"/>
      <c r="EF344" s="280"/>
      <c r="EG344" s="280"/>
      <c r="EH344" s="280"/>
      <c r="EI344" s="280"/>
      <c r="EJ344" s="280"/>
      <c r="EK344" s="280"/>
      <c r="EL344" s="280"/>
      <c r="EM344" s="280"/>
      <c r="EN344" s="280"/>
      <c r="EO344" s="280"/>
      <c r="EP344" s="521"/>
      <c r="EQ344" s="521"/>
      <c r="ER344" s="521"/>
      <c r="ES344" s="521"/>
      <c r="ET344" s="521"/>
      <c r="EU344" s="521"/>
      <c r="EV344" s="521"/>
      <c r="EW344" s="521"/>
      <c r="EX344" s="521"/>
      <c r="EY344" s="521"/>
      <c r="EZ344" s="521"/>
      <c r="FA344" s="521"/>
      <c r="FB344" s="521"/>
      <c r="FC344" s="521"/>
      <c r="FD344" s="521"/>
      <c r="FE344" s="521"/>
      <c r="FF344" s="521"/>
      <c r="FG344" s="521"/>
      <c r="FH344" s="567"/>
      <c r="FI344" s="567"/>
      <c r="FJ344" s="567"/>
      <c r="FK344" s="567"/>
      <c r="FL344" s="567"/>
      <c r="FM344" s="567"/>
      <c r="FN344" s="567"/>
      <c r="FO344" s="567"/>
    </row>
    <row r="345" spans="1:171" s="568" customFormat="1" ht="13.9" customHeight="1">
      <c r="A345" s="566"/>
      <c r="B345" s="566"/>
      <c r="C345" s="566"/>
      <c r="D345" s="569"/>
      <c r="E345" s="570"/>
      <c r="F345" s="571"/>
      <c r="G345" s="571"/>
      <c r="H345" s="571"/>
      <c r="I345" s="571"/>
      <c r="J345" s="571"/>
      <c r="K345" s="572"/>
      <c r="L345" s="569"/>
      <c r="M345" s="569"/>
      <c r="N345" s="569"/>
      <c r="O345" s="569"/>
      <c r="P345" s="566"/>
      <c r="Q345" s="566"/>
      <c r="R345" s="566"/>
      <c r="S345" s="566"/>
      <c r="T345" s="566"/>
      <c r="U345" s="566"/>
      <c r="V345" s="566"/>
      <c r="W345" s="566"/>
      <c r="X345" s="553"/>
      <c r="Y345" s="553"/>
      <c r="Z345" s="553"/>
      <c r="AA345" s="554"/>
      <c r="AB345" s="550"/>
      <c r="AC345" s="550"/>
      <c r="AD345" s="550"/>
      <c r="AE345" s="307"/>
      <c r="AF345" s="307"/>
      <c r="AG345" s="307"/>
      <c r="AH345" s="307"/>
      <c r="AI345" s="307"/>
      <c r="AJ345" s="307"/>
      <c r="AK345" s="307"/>
      <c r="AL345" s="307"/>
      <c r="AM345" s="307"/>
      <c r="AN345" s="307"/>
      <c r="AO345" s="307"/>
      <c r="AP345" s="307"/>
      <c r="AQ345" s="307"/>
      <c r="AR345" s="307"/>
      <c r="AS345" s="307"/>
      <c r="AT345" s="307"/>
      <c r="AU345" s="307"/>
      <c r="AV345" s="307"/>
      <c r="AW345" s="307"/>
      <c r="AX345" s="307"/>
      <c r="AY345" s="307"/>
      <c r="AZ345" s="307"/>
      <c r="BA345" s="307"/>
      <c r="BB345" s="307"/>
      <c r="BC345" s="307"/>
      <c r="BD345" s="307"/>
      <c r="BE345" s="307"/>
      <c r="BF345" s="307"/>
      <c r="BG345" s="307"/>
      <c r="BH345" s="307"/>
      <c r="BI345" s="307"/>
      <c r="BJ345" s="307"/>
      <c r="BK345" s="307"/>
      <c r="BL345" s="307"/>
      <c r="BM345" s="307"/>
      <c r="BN345" s="307"/>
      <c r="BO345" s="307"/>
      <c r="BP345" s="307"/>
      <c r="BQ345" s="307"/>
      <c r="BR345" s="307"/>
      <c r="BS345" s="307"/>
      <c r="BT345" s="307"/>
      <c r="BU345" s="307"/>
      <c r="BV345" s="307"/>
      <c r="BW345" s="307"/>
      <c r="BX345" s="307"/>
      <c r="BY345" s="307"/>
      <c r="BZ345" s="307"/>
      <c r="CA345" s="307"/>
      <c r="CB345" s="307"/>
      <c r="CC345" s="307"/>
      <c r="CD345" s="307"/>
      <c r="CE345" s="307"/>
      <c r="CF345" s="307"/>
      <c r="CG345" s="307"/>
      <c r="CH345" s="307"/>
      <c r="CI345" s="307"/>
      <c r="CJ345" s="307"/>
      <c r="CK345" s="307"/>
      <c r="CL345" s="307"/>
      <c r="CM345" s="307"/>
      <c r="CN345" s="307"/>
      <c r="CO345" s="307"/>
      <c r="CP345" s="307"/>
      <c r="CQ345" s="307"/>
      <c r="CR345" s="307"/>
      <c r="CS345" s="307"/>
      <c r="CT345" s="307"/>
      <c r="CU345" s="307"/>
      <c r="CV345" s="307"/>
      <c r="CW345" s="307"/>
      <c r="CX345" s="307"/>
      <c r="CY345" s="307"/>
      <c r="CZ345" s="307"/>
      <c r="DA345" s="307"/>
      <c r="DB345" s="280"/>
      <c r="DC345" s="280"/>
      <c r="DD345" s="280"/>
      <c r="DE345" s="280"/>
      <c r="DF345" s="280"/>
      <c r="DG345" s="280"/>
      <c r="DH345" s="280"/>
      <c r="DI345" s="280"/>
      <c r="DJ345" s="280"/>
      <c r="DK345" s="280"/>
      <c r="DL345" s="280"/>
      <c r="DM345" s="280"/>
      <c r="DN345" s="280"/>
      <c r="DO345" s="280"/>
      <c r="DP345" s="280"/>
      <c r="DQ345" s="280"/>
      <c r="DR345" s="280"/>
      <c r="DS345" s="280"/>
      <c r="DT345" s="280"/>
      <c r="DU345" s="280"/>
      <c r="DV345" s="280"/>
      <c r="DW345" s="280"/>
      <c r="DX345" s="280"/>
      <c r="DY345" s="280"/>
      <c r="DZ345" s="280"/>
      <c r="EA345" s="280"/>
      <c r="EB345" s="280"/>
      <c r="EC345" s="280"/>
      <c r="ED345" s="280"/>
      <c r="EE345" s="280"/>
      <c r="EF345" s="280"/>
      <c r="EG345" s="280"/>
      <c r="EH345" s="280"/>
      <c r="EI345" s="280"/>
      <c r="EJ345" s="280"/>
      <c r="EK345" s="280"/>
      <c r="EL345" s="280"/>
      <c r="EM345" s="280"/>
      <c r="EN345" s="280"/>
      <c r="EO345" s="280"/>
      <c r="EP345" s="521"/>
      <c r="EQ345" s="521"/>
      <c r="ER345" s="521"/>
      <c r="ES345" s="521"/>
      <c r="ET345" s="521"/>
      <c r="EU345" s="521"/>
      <c r="EV345" s="521"/>
      <c r="EW345" s="521"/>
      <c r="EX345" s="521"/>
      <c r="EY345" s="521"/>
      <c r="EZ345" s="521"/>
      <c r="FA345" s="521"/>
      <c r="FB345" s="521"/>
      <c r="FC345" s="521"/>
      <c r="FD345" s="521"/>
      <c r="FE345" s="521"/>
      <c r="FF345" s="521"/>
      <c r="FG345" s="521"/>
      <c r="FH345" s="567"/>
      <c r="FI345" s="567"/>
      <c r="FJ345" s="567"/>
      <c r="FK345" s="567"/>
      <c r="FL345" s="567"/>
      <c r="FM345" s="567"/>
      <c r="FN345" s="567"/>
      <c r="FO345" s="567"/>
    </row>
    <row r="346" spans="1:171" s="568" customFormat="1" ht="13.9" customHeight="1">
      <c r="A346" s="566"/>
      <c r="B346" s="566"/>
      <c r="C346" s="566"/>
      <c r="D346" s="569"/>
      <c r="E346" s="570"/>
      <c r="F346" s="571"/>
      <c r="G346" s="571"/>
      <c r="H346" s="571"/>
      <c r="I346" s="571"/>
      <c r="J346" s="571"/>
      <c r="K346" s="572"/>
      <c r="L346" s="569"/>
      <c r="M346" s="569"/>
      <c r="N346" s="569"/>
      <c r="O346" s="569"/>
      <c r="P346" s="566"/>
      <c r="Q346" s="566"/>
      <c r="R346" s="566"/>
      <c r="S346" s="566"/>
      <c r="T346" s="566"/>
      <c r="U346" s="566"/>
      <c r="V346" s="566"/>
      <c r="W346" s="566"/>
      <c r="X346" s="553"/>
      <c r="Y346" s="553"/>
      <c r="Z346" s="553"/>
      <c r="AA346" s="554"/>
      <c r="AB346" s="550"/>
      <c r="AC346" s="550"/>
      <c r="AD346" s="550"/>
      <c r="AE346" s="307"/>
      <c r="AF346" s="307"/>
      <c r="AG346" s="307"/>
      <c r="AH346" s="307"/>
      <c r="AI346" s="307"/>
      <c r="AJ346" s="307"/>
      <c r="AK346" s="307"/>
      <c r="AL346" s="307"/>
      <c r="AM346" s="307"/>
      <c r="AN346" s="307"/>
      <c r="AO346" s="307"/>
      <c r="AP346" s="307"/>
      <c r="AQ346" s="307"/>
      <c r="AR346" s="307"/>
      <c r="AS346" s="307"/>
      <c r="AT346" s="307"/>
      <c r="AU346" s="307"/>
      <c r="AV346" s="307"/>
      <c r="AW346" s="307"/>
      <c r="AX346" s="307"/>
      <c r="AY346" s="307"/>
      <c r="AZ346" s="307"/>
      <c r="BA346" s="307"/>
      <c r="BB346" s="307"/>
      <c r="BC346" s="307"/>
      <c r="BD346" s="307"/>
      <c r="BE346" s="307"/>
      <c r="BF346" s="307"/>
      <c r="BG346" s="307"/>
      <c r="BH346" s="307"/>
      <c r="BI346" s="307"/>
      <c r="BJ346" s="307"/>
      <c r="BK346" s="307"/>
      <c r="BL346" s="307"/>
      <c r="BM346" s="307"/>
      <c r="BN346" s="307"/>
      <c r="BO346" s="307"/>
      <c r="BP346" s="307"/>
      <c r="BQ346" s="307"/>
      <c r="BR346" s="307"/>
      <c r="BS346" s="307"/>
      <c r="BT346" s="307"/>
      <c r="BU346" s="307"/>
      <c r="BV346" s="307"/>
      <c r="BW346" s="307"/>
      <c r="BX346" s="307"/>
      <c r="BY346" s="307"/>
      <c r="BZ346" s="307"/>
      <c r="CA346" s="307"/>
      <c r="CB346" s="307"/>
      <c r="CC346" s="307"/>
      <c r="CD346" s="307"/>
      <c r="CE346" s="307"/>
      <c r="CF346" s="307"/>
      <c r="CG346" s="307"/>
      <c r="CH346" s="307"/>
      <c r="CI346" s="307"/>
      <c r="CJ346" s="307"/>
      <c r="CK346" s="307"/>
      <c r="CL346" s="307"/>
      <c r="CM346" s="307"/>
      <c r="CN346" s="307"/>
      <c r="CO346" s="307"/>
      <c r="CP346" s="307"/>
      <c r="CQ346" s="307"/>
      <c r="CR346" s="307"/>
      <c r="CS346" s="307"/>
      <c r="CT346" s="307"/>
      <c r="CU346" s="307"/>
      <c r="CV346" s="307"/>
      <c r="CW346" s="307"/>
      <c r="CX346" s="307"/>
      <c r="CY346" s="307"/>
      <c r="CZ346" s="307"/>
      <c r="DA346" s="307"/>
      <c r="DB346" s="280"/>
      <c r="DC346" s="280"/>
      <c r="DD346" s="280"/>
      <c r="DE346" s="280"/>
      <c r="DF346" s="280"/>
      <c r="DG346" s="280"/>
      <c r="DH346" s="280"/>
      <c r="DI346" s="280"/>
      <c r="DJ346" s="280"/>
      <c r="DK346" s="280"/>
      <c r="DL346" s="280"/>
      <c r="DM346" s="280"/>
      <c r="DN346" s="280"/>
      <c r="DO346" s="280"/>
      <c r="DP346" s="280"/>
      <c r="DQ346" s="280"/>
      <c r="DR346" s="280"/>
      <c r="DS346" s="280"/>
      <c r="DT346" s="280"/>
      <c r="DU346" s="280"/>
      <c r="DV346" s="280"/>
      <c r="DW346" s="280"/>
      <c r="DX346" s="280"/>
      <c r="DY346" s="280"/>
      <c r="DZ346" s="280"/>
      <c r="EA346" s="280"/>
      <c r="EB346" s="280"/>
      <c r="EC346" s="280"/>
      <c r="ED346" s="280"/>
      <c r="EE346" s="280"/>
      <c r="EF346" s="280"/>
      <c r="EG346" s="280"/>
      <c r="EH346" s="280"/>
      <c r="EI346" s="280"/>
      <c r="EJ346" s="280"/>
      <c r="EK346" s="280"/>
      <c r="EL346" s="280"/>
      <c r="EM346" s="280"/>
      <c r="EN346" s="280"/>
      <c r="EO346" s="280"/>
      <c r="EP346" s="521"/>
      <c r="EQ346" s="521"/>
      <c r="ER346" s="521"/>
      <c r="ES346" s="521"/>
      <c r="ET346" s="521"/>
      <c r="EU346" s="521"/>
      <c r="EV346" s="521"/>
      <c r="EW346" s="521"/>
      <c r="EX346" s="521"/>
      <c r="EY346" s="521"/>
      <c r="EZ346" s="521"/>
      <c r="FA346" s="521"/>
      <c r="FB346" s="521"/>
      <c r="FC346" s="521"/>
      <c r="FD346" s="521"/>
      <c r="FE346" s="521"/>
      <c r="FF346" s="521"/>
      <c r="FG346" s="521"/>
      <c r="FH346" s="567"/>
      <c r="FI346" s="567"/>
      <c r="FJ346" s="567"/>
      <c r="FK346" s="567"/>
      <c r="FL346" s="567"/>
      <c r="FM346" s="567"/>
      <c r="FN346" s="567"/>
      <c r="FO346" s="567"/>
    </row>
    <row r="347" spans="1:171" s="568" customFormat="1" ht="13.9" customHeight="1">
      <c r="A347" s="566"/>
      <c r="B347" s="566"/>
      <c r="C347" s="566"/>
      <c r="D347" s="569"/>
      <c r="E347" s="570"/>
      <c r="F347" s="571"/>
      <c r="G347" s="571"/>
      <c r="H347" s="571"/>
      <c r="I347" s="571"/>
      <c r="J347" s="571"/>
      <c r="K347" s="572"/>
      <c r="L347" s="569"/>
      <c r="M347" s="569"/>
      <c r="N347" s="569"/>
      <c r="O347" s="569"/>
      <c r="P347" s="566"/>
      <c r="Q347" s="566"/>
      <c r="R347" s="566"/>
      <c r="S347" s="566"/>
      <c r="T347" s="566"/>
      <c r="U347" s="566"/>
      <c r="V347" s="566"/>
      <c r="W347" s="566"/>
      <c r="X347" s="553"/>
      <c r="Y347" s="553"/>
      <c r="Z347" s="553"/>
      <c r="AA347" s="554"/>
      <c r="AB347" s="550"/>
      <c r="AC347" s="550"/>
      <c r="AD347" s="550"/>
      <c r="AE347" s="307"/>
      <c r="AF347" s="307"/>
      <c r="AG347" s="307"/>
      <c r="AH347" s="307"/>
      <c r="AI347" s="307"/>
      <c r="AJ347" s="307"/>
      <c r="AK347" s="307"/>
      <c r="AL347" s="307"/>
      <c r="AM347" s="307"/>
      <c r="AN347" s="307"/>
      <c r="AO347" s="307"/>
      <c r="AP347" s="307"/>
      <c r="AQ347" s="307"/>
      <c r="AR347" s="307"/>
      <c r="AS347" s="307"/>
      <c r="AT347" s="307"/>
      <c r="AU347" s="307"/>
      <c r="AV347" s="307"/>
      <c r="AW347" s="307"/>
      <c r="AX347" s="307"/>
      <c r="AY347" s="307"/>
      <c r="AZ347" s="307"/>
      <c r="BA347" s="307"/>
      <c r="BB347" s="307"/>
      <c r="BC347" s="307"/>
      <c r="BD347" s="307"/>
      <c r="BE347" s="307"/>
      <c r="BF347" s="307"/>
      <c r="BG347" s="307"/>
      <c r="BH347" s="307"/>
      <c r="BI347" s="307"/>
      <c r="BJ347" s="307"/>
      <c r="BK347" s="307"/>
      <c r="BL347" s="307"/>
      <c r="BM347" s="307"/>
      <c r="BN347" s="307"/>
      <c r="BO347" s="307"/>
      <c r="BP347" s="307"/>
      <c r="BQ347" s="307"/>
      <c r="BR347" s="307"/>
      <c r="BS347" s="307"/>
      <c r="BT347" s="307"/>
      <c r="BU347" s="307"/>
      <c r="BV347" s="307"/>
      <c r="BW347" s="307"/>
      <c r="BX347" s="307"/>
      <c r="BY347" s="307"/>
      <c r="BZ347" s="307"/>
      <c r="CA347" s="307"/>
      <c r="CB347" s="307"/>
      <c r="CC347" s="307"/>
      <c r="CD347" s="307"/>
      <c r="CE347" s="307"/>
      <c r="CF347" s="307"/>
      <c r="CG347" s="307"/>
      <c r="CH347" s="307"/>
      <c r="CI347" s="307"/>
      <c r="CJ347" s="307"/>
      <c r="CK347" s="307"/>
      <c r="CL347" s="307"/>
      <c r="CM347" s="307"/>
      <c r="CN347" s="307"/>
      <c r="CO347" s="307"/>
      <c r="CP347" s="307"/>
      <c r="CQ347" s="307"/>
      <c r="CR347" s="307"/>
      <c r="CS347" s="307"/>
      <c r="CT347" s="307"/>
      <c r="CU347" s="307"/>
      <c r="CV347" s="307"/>
      <c r="CW347" s="307"/>
      <c r="CX347" s="307"/>
      <c r="CY347" s="307"/>
      <c r="CZ347" s="307"/>
      <c r="DA347" s="307"/>
      <c r="DB347" s="280"/>
      <c r="DC347" s="280"/>
      <c r="DD347" s="280"/>
      <c r="DE347" s="280"/>
      <c r="DF347" s="280"/>
      <c r="DG347" s="280"/>
      <c r="DH347" s="280"/>
      <c r="DI347" s="280"/>
      <c r="DJ347" s="280"/>
      <c r="DK347" s="280"/>
      <c r="DL347" s="280"/>
      <c r="DM347" s="280"/>
      <c r="DN347" s="280"/>
      <c r="DO347" s="280"/>
      <c r="DP347" s="280"/>
      <c r="DQ347" s="280"/>
      <c r="DR347" s="280"/>
      <c r="DS347" s="280"/>
      <c r="DT347" s="280"/>
      <c r="DU347" s="280"/>
      <c r="DV347" s="280"/>
      <c r="DW347" s="280"/>
      <c r="DX347" s="280"/>
      <c r="DY347" s="280"/>
      <c r="DZ347" s="280"/>
      <c r="EA347" s="280"/>
      <c r="EB347" s="280"/>
      <c r="EC347" s="280"/>
      <c r="ED347" s="280"/>
      <c r="EE347" s="280"/>
      <c r="EF347" s="280"/>
      <c r="EG347" s="280"/>
      <c r="EH347" s="280"/>
      <c r="EI347" s="280"/>
      <c r="EJ347" s="280"/>
      <c r="EK347" s="280"/>
      <c r="EL347" s="280"/>
      <c r="EM347" s="280"/>
      <c r="EN347" s="280"/>
      <c r="EO347" s="280"/>
      <c r="EP347" s="521"/>
      <c r="EQ347" s="521"/>
      <c r="ER347" s="521"/>
      <c r="ES347" s="521"/>
      <c r="ET347" s="521"/>
      <c r="EU347" s="521"/>
      <c r="EV347" s="521"/>
      <c r="EW347" s="521"/>
      <c r="EX347" s="521"/>
      <c r="EY347" s="521"/>
      <c r="EZ347" s="521"/>
      <c r="FA347" s="521"/>
      <c r="FB347" s="521"/>
      <c r="FC347" s="521"/>
      <c r="FD347" s="521"/>
      <c r="FE347" s="521"/>
      <c r="FF347" s="521"/>
      <c r="FG347" s="521"/>
      <c r="FH347" s="567"/>
      <c r="FI347" s="567"/>
      <c r="FJ347" s="567"/>
      <c r="FK347" s="567"/>
      <c r="FL347" s="567"/>
      <c r="FM347" s="567"/>
      <c r="FN347" s="567"/>
      <c r="FO347" s="567"/>
    </row>
    <row r="348" spans="1:171" s="568" customFormat="1" ht="13.9" customHeight="1">
      <c r="A348" s="566"/>
      <c r="B348" s="566"/>
      <c r="C348" s="566"/>
      <c r="D348" s="569"/>
      <c r="E348" s="570"/>
      <c r="F348" s="571"/>
      <c r="G348" s="571"/>
      <c r="H348" s="571"/>
      <c r="I348" s="571"/>
      <c r="J348" s="571"/>
      <c r="K348" s="572"/>
      <c r="L348" s="569"/>
      <c r="M348" s="569"/>
      <c r="N348" s="569"/>
      <c r="O348" s="569"/>
      <c r="P348" s="566"/>
      <c r="Q348" s="566"/>
      <c r="R348" s="566"/>
      <c r="S348" s="566"/>
      <c r="T348" s="566"/>
      <c r="U348" s="566"/>
      <c r="V348" s="566"/>
      <c r="W348" s="566"/>
      <c r="X348" s="553"/>
      <c r="Y348" s="553"/>
      <c r="Z348" s="553"/>
      <c r="AA348" s="554"/>
      <c r="AB348" s="550"/>
      <c r="AC348" s="550"/>
      <c r="AD348" s="550"/>
      <c r="AE348" s="307"/>
      <c r="AF348" s="307"/>
      <c r="AG348" s="307"/>
      <c r="AH348" s="307"/>
      <c r="AI348" s="307"/>
      <c r="AJ348" s="307"/>
      <c r="AK348" s="307"/>
      <c r="AL348" s="307"/>
      <c r="AM348" s="307"/>
      <c r="AN348" s="307"/>
      <c r="AO348" s="307"/>
      <c r="AP348" s="307"/>
      <c r="AQ348" s="307"/>
      <c r="AR348" s="307"/>
      <c r="AS348" s="307"/>
      <c r="AT348" s="307"/>
      <c r="AU348" s="307"/>
      <c r="AV348" s="307"/>
      <c r="AW348" s="307"/>
      <c r="AX348" s="307"/>
      <c r="AY348" s="307"/>
      <c r="AZ348" s="307"/>
      <c r="BA348" s="307"/>
      <c r="BB348" s="307"/>
      <c r="BC348" s="307"/>
      <c r="BD348" s="307"/>
      <c r="BE348" s="307"/>
      <c r="BF348" s="307"/>
      <c r="BG348" s="307"/>
      <c r="BH348" s="307"/>
      <c r="BI348" s="307"/>
      <c r="BJ348" s="307"/>
      <c r="BK348" s="307"/>
      <c r="BL348" s="307"/>
      <c r="BM348" s="307"/>
      <c r="BN348" s="307"/>
      <c r="BO348" s="307"/>
      <c r="BP348" s="307"/>
      <c r="BQ348" s="307"/>
      <c r="BR348" s="307"/>
      <c r="BS348" s="307"/>
      <c r="BT348" s="307"/>
      <c r="BU348" s="307"/>
      <c r="BV348" s="307"/>
      <c r="BW348" s="307"/>
      <c r="BX348" s="307"/>
      <c r="BY348" s="307"/>
      <c r="BZ348" s="307"/>
      <c r="CA348" s="307"/>
      <c r="CB348" s="307"/>
      <c r="CC348" s="307"/>
      <c r="CD348" s="307"/>
      <c r="CE348" s="307"/>
      <c r="CF348" s="307"/>
      <c r="CG348" s="307"/>
      <c r="CH348" s="307"/>
      <c r="CI348" s="307"/>
      <c r="CJ348" s="307"/>
      <c r="CK348" s="307"/>
      <c r="CL348" s="307"/>
      <c r="CM348" s="307"/>
      <c r="CN348" s="307"/>
      <c r="CO348" s="307"/>
      <c r="CP348" s="307"/>
      <c r="CQ348" s="307"/>
      <c r="CR348" s="307"/>
      <c r="CS348" s="307"/>
      <c r="CT348" s="307"/>
      <c r="CU348" s="307"/>
      <c r="CV348" s="307"/>
      <c r="CW348" s="307"/>
      <c r="CX348" s="307"/>
      <c r="CY348" s="307"/>
      <c r="CZ348" s="307"/>
      <c r="DA348" s="307"/>
      <c r="DB348" s="280"/>
      <c r="DC348" s="280"/>
      <c r="DD348" s="280"/>
      <c r="DE348" s="280"/>
      <c r="DF348" s="280"/>
      <c r="DG348" s="280"/>
      <c r="DH348" s="280"/>
      <c r="DI348" s="280"/>
      <c r="DJ348" s="280"/>
      <c r="DK348" s="280"/>
      <c r="DL348" s="280"/>
      <c r="DM348" s="280"/>
      <c r="DN348" s="280"/>
      <c r="DO348" s="280"/>
      <c r="DP348" s="280"/>
      <c r="DQ348" s="280"/>
      <c r="DR348" s="280"/>
      <c r="DS348" s="280"/>
      <c r="DT348" s="280"/>
      <c r="DU348" s="280"/>
      <c r="DV348" s="280"/>
      <c r="DW348" s="280"/>
      <c r="DX348" s="280"/>
      <c r="DY348" s="280"/>
      <c r="DZ348" s="280"/>
      <c r="EA348" s="280"/>
      <c r="EB348" s="280"/>
      <c r="EC348" s="280"/>
      <c r="ED348" s="280"/>
      <c r="EE348" s="280"/>
      <c r="EF348" s="280"/>
      <c r="EG348" s="280"/>
      <c r="EH348" s="280"/>
      <c r="EI348" s="280"/>
      <c r="EJ348" s="280"/>
      <c r="EK348" s="280"/>
      <c r="EL348" s="280"/>
      <c r="EM348" s="280"/>
      <c r="EN348" s="280"/>
      <c r="EO348" s="280"/>
      <c r="EP348" s="521"/>
      <c r="EQ348" s="521"/>
      <c r="ER348" s="521"/>
      <c r="ES348" s="521"/>
      <c r="ET348" s="521"/>
      <c r="EU348" s="521"/>
      <c r="EV348" s="521"/>
      <c r="EW348" s="521"/>
      <c r="EX348" s="521"/>
      <c r="EY348" s="521"/>
      <c r="EZ348" s="521"/>
      <c r="FA348" s="521"/>
      <c r="FB348" s="521"/>
      <c r="FC348" s="521"/>
      <c r="FD348" s="521"/>
      <c r="FE348" s="521"/>
      <c r="FF348" s="521"/>
      <c r="FG348" s="521"/>
      <c r="FH348" s="567"/>
      <c r="FI348" s="567"/>
      <c r="FJ348" s="567"/>
      <c r="FK348" s="567"/>
      <c r="FL348" s="567"/>
      <c r="FM348" s="567"/>
      <c r="FN348" s="567"/>
      <c r="FO348" s="567"/>
    </row>
    <row r="349" spans="1:171" s="568" customFormat="1" ht="13.9" customHeight="1">
      <c r="A349" s="566"/>
      <c r="B349" s="566"/>
      <c r="C349" s="566"/>
      <c r="D349" s="569"/>
      <c r="E349" s="570"/>
      <c r="F349" s="571"/>
      <c r="G349" s="571"/>
      <c r="H349" s="571"/>
      <c r="I349" s="571"/>
      <c r="J349" s="571"/>
      <c r="K349" s="572"/>
      <c r="L349" s="569"/>
      <c r="M349" s="569"/>
      <c r="N349" s="569"/>
      <c r="O349" s="569"/>
      <c r="P349" s="566"/>
      <c r="Q349" s="566"/>
      <c r="R349" s="566"/>
      <c r="S349" s="566"/>
      <c r="T349" s="566"/>
      <c r="U349" s="566"/>
      <c r="V349" s="566"/>
      <c r="W349" s="566"/>
      <c r="X349" s="553"/>
      <c r="Y349" s="553"/>
      <c r="Z349" s="553"/>
      <c r="AA349" s="554"/>
      <c r="AB349" s="550"/>
      <c r="AC349" s="550"/>
      <c r="AD349" s="550"/>
      <c r="AE349" s="307"/>
      <c r="AF349" s="307"/>
      <c r="AG349" s="307"/>
      <c r="AH349" s="307"/>
      <c r="AI349" s="307"/>
      <c r="AJ349" s="307"/>
      <c r="AK349" s="307"/>
      <c r="AL349" s="307"/>
      <c r="AM349" s="307"/>
      <c r="AN349" s="307"/>
      <c r="AO349" s="307"/>
      <c r="AP349" s="307"/>
      <c r="AQ349" s="307"/>
      <c r="AR349" s="307"/>
      <c r="AS349" s="307"/>
      <c r="AT349" s="307"/>
      <c r="AU349" s="307"/>
      <c r="AV349" s="307"/>
      <c r="AW349" s="307"/>
      <c r="AX349" s="307"/>
      <c r="AY349" s="307"/>
      <c r="AZ349" s="307"/>
      <c r="BA349" s="307"/>
      <c r="BB349" s="307"/>
      <c r="BC349" s="307"/>
      <c r="BD349" s="307"/>
      <c r="BE349" s="307"/>
      <c r="BF349" s="307"/>
      <c r="BG349" s="307"/>
      <c r="BH349" s="307"/>
      <c r="BI349" s="307"/>
      <c r="BJ349" s="307"/>
      <c r="BK349" s="307"/>
      <c r="BL349" s="307"/>
      <c r="BM349" s="307"/>
      <c r="BN349" s="307"/>
      <c r="BO349" s="307"/>
      <c r="BP349" s="307"/>
      <c r="BQ349" s="307"/>
      <c r="BR349" s="307"/>
      <c r="BS349" s="307"/>
      <c r="BT349" s="307"/>
      <c r="BU349" s="307"/>
      <c r="BV349" s="307"/>
      <c r="BW349" s="307"/>
      <c r="BX349" s="307"/>
      <c r="BY349" s="307"/>
      <c r="BZ349" s="307"/>
      <c r="CA349" s="307"/>
      <c r="CB349" s="307"/>
      <c r="CC349" s="307"/>
      <c r="CD349" s="307"/>
      <c r="CE349" s="307"/>
      <c r="CF349" s="307"/>
      <c r="CG349" s="307"/>
      <c r="CH349" s="307"/>
      <c r="CI349" s="307"/>
      <c r="CJ349" s="307"/>
      <c r="CK349" s="307"/>
      <c r="CL349" s="307"/>
      <c r="CM349" s="307"/>
      <c r="CN349" s="307"/>
      <c r="CO349" s="307"/>
      <c r="CP349" s="307"/>
      <c r="CQ349" s="307"/>
      <c r="CR349" s="307"/>
      <c r="CS349" s="307"/>
      <c r="CT349" s="307"/>
      <c r="CU349" s="307"/>
      <c r="CV349" s="307"/>
      <c r="CW349" s="307"/>
      <c r="CX349" s="307"/>
      <c r="CY349" s="307"/>
      <c r="CZ349" s="307"/>
      <c r="DA349" s="307"/>
      <c r="DB349" s="280"/>
      <c r="DC349" s="280"/>
      <c r="DD349" s="280"/>
      <c r="DE349" s="280"/>
      <c r="DF349" s="280"/>
      <c r="DG349" s="280"/>
      <c r="DH349" s="280"/>
      <c r="DI349" s="280"/>
      <c r="DJ349" s="280"/>
      <c r="DK349" s="280"/>
      <c r="DL349" s="280"/>
      <c r="DM349" s="280"/>
      <c r="DN349" s="280"/>
      <c r="DO349" s="280"/>
      <c r="DP349" s="280"/>
      <c r="DQ349" s="280"/>
      <c r="DR349" s="280"/>
      <c r="DS349" s="280"/>
      <c r="DT349" s="280"/>
      <c r="DU349" s="280"/>
      <c r="DV349" s="280"/>
      <c r="DW349" s="280"/>
      <c r="DX349" s="280"/>
      <c r="DY349" s="280"/>
      <c r="DZ349" s="280"/>
      <c r="EA349" s="280"/>
      <c r="EB349" s="280"/>
      <c r="EC349" s="280"/>
      <c r="ED349" s="280"/>
      <c r="EE349" s="280"/>
      <c r="EF349" s="280"/>
      <c r="EG349" s="280"/>
      <c r="EH349" s="280"/>
      <c r="EI349" s="280"/>
      <c r="EJ349" s="280"/>
      <c r="EK349" s="280"/>
      <c r="EL349" s="280"/>
      <c r="EM349" s="280"/>
      <c r="EN349" s="280"/>
      <c r="EO349" s="280"/>
      <c r="EP349" s="521"/>
      <c r="EQ349" s="521"/>
      <c r="ER349" s="521"/>
      <c r="ES349" s="521"/>
      <c r="ET349" s="521"/>
      <c r="EU349" s="521"/>
      <c r="EV349" s="521"/>
      <c r="EW349" s="521"/>
      <c r="EX349" s="521"/>
      <c r="EY349" s="521"/>
      <c r="EZ349" s="521"/>
      <c r="FA349" s="521"/>
      <c r="FB349" s="521"/>
      <c r="FC349" s="521"/>
      <c r="FD349" s="521"/>
      <c r="FE349" s="521"/>
      <c r="FF349" s="521"/>
      <c r="FG349" s="521"/>
      <c r="FH349" s="567"/>
      <c r="FI349" s="567"/>
      <c r="FJ349" s="567"/>
      <c r="FK349" s="567"/>
      <c r="FL349" s="567"/>
      <c r="FM349" s="567"/>
      <c r="FN349" s="567"/>
      <c r="FO349" s="567"/>
    </row>
    <row r="350" spans="1:171" s="568" customFormat="1" ht="13.9" customHeight="1">
      <c r="A350" s="566"/>
      <c r="B350" s="566"/>
      <c r="C350" s="566"/>
      <c r="D350" s="569"/>
      <c r="E350" s="570"/>
      <c r="F350" s="571"/>
      <c r="G350" s="571"/>
      <c r="H350" s="571"/>
      <c r="I350" s="571"/>
      <c r="J350" s="571"/>
      <c r="K350" s="572"/>
      <c r="L350" s="569"/>
      <c r="M350" s="569"/>
      <c r="N350" s="569"/>
      <c r="O350" s="569"/>
      <c r="P350" s="566"/>
      <c r="Q350" s="566"/>
      <c r="R350" s="566"/>
      <c r="S350" s="566"/>
      <c r="T350" s="566"/>
      <c r="U350" s="566"/>
      <c r="V350" s="566"/>
      <c r="W350" s="566"/>
      <c r="X350" s="553"/>
      <c r="Y350" s="553"/>
      <c r="Z350" s="553"/>
      <c r="AA350" s="554"/>
      <c r="AB350" s="550"/>
      <c r="AC350" s="550"/>
      <c r="AD350" s="550"/>
      <c r="AE350" s="307"/>
      <c r="AF350" s="307"/>
      <c r="AG350" s="307"/>
      <c r="AH350" s="307"/>
      <c r="AI350" s="307"/>
      <c r="AJ350" s="307"/>
      <c r="AK350" s="307"/>
      <c r="AL350" s="307"/>
      <c r="AM350" s="307"/>
      <c r="AN350" s="307"/>
      <c r="AO350" s="307"/>
      <c r="AP350" s="307"/>
      <c r="AQ350" s="307"/>
      <c r="AR350" s="307"/>
      <c r="AS350" s="307"/>
      <c r="AT350" s="307"/>
      <c r="AU350" s="307"/>
      <c r="AV350" s="307"/>
      <c r="AW350" s="307"/>
      <c r="AX350" s="307"/>
      <c r="AY350" s="307"/>
      <c r="AZ350" s="307"/>
      <c r="BA350" s="307"/>
      <c r="BB350" s="307"/>
      <c r="BC350" s="307"/>
      <c r="BD350" s="307"/>
      <c r="BE350" s="307"/>
      <c r="BF350" s="307"/>
      <c r="BG350" s="307"/>
      <c r="BH350" s="307"/>
      <c r="BI350" s="307"/>
      <c r="BJ350" s="307"/>
      <c r="BK350" s="307"/>
      <c r="BL350" s="307"/>
      <c r="BM350" s="307"/>
      <c r="BN350" s="307"/>
      <c r="BO350" s="307"/>
      <c r="BP350" s="307"/>
      <c r="BQ350" s="307"/>
      <c r="BR350" s="307"/>
      <c r="BS350" s="307"/>
      <c r="BT350" s="307"/>
      <c r="BU350" s="307"/>
      <c r="BV350" s="307"/>
      <c r="BW350" s="307"/>
      <c r="BX350" s="307"/>
      <c r="BY350" s="307"/>
      <c r="BZ350" s="307"/>
      <c r="CA350" s="307"/>
      <c r="CB350" s="307"/>
      <c r="CC350" s="307"/>
      <c r="CD350" s="307"/>
      <c r="CE350" s="307"/>
      <c r="CF350" s="307"/>
      <c r="CG350" s="307"/>
      <c r="CH350" s="307"/>
      <c r="CI350" s="307"/>
      <c r="CJ350" s="307"/>
      <c r="CK350" s="307"/>
      <c r="CL350" s="307"/>
      <c r="CM350" s="307"/>
      <c r="CN350" s="307"/>
      <c r="CO350" s="307"/>
      <c r="CP350" s="307"/>
      <c r="CQ350" s="307"/>
      <c r="CR350" s="307"/>
      <c r="CS350" s="307"/>
      <c r="CT350" s="307"/>
      <c r="CU350" s="307"/>
      <c r="CV350" s="307"/>
      <c r="CW350" s="307"/>
      <c r="CX350" s="307"/>
      <c r="CY350" s="307"/>
      <c r="CZ350" s="307"/>
      <c r="DA350" s="307"/>
      <c r="DB350" s="280"/>
      <c r="DC350" s="280"/>
      <c r="DD350" s="280"/>
      <c r="DE350" s="280"/>
      <c r="DF350" s="280"/>
      <c r="DG350" s="280"/>
      <c r="DH350" s="280"/>
      <c r="DI350" s="280"/>
      <c r="DJ350" s="280"/>
      <c r="DK350" s="280"/>
      <c r="DL350" s="280"/>
      <c r="DM350" s="280"/>
      <c r="DN350" s="280"/>
      <c r="DO350" s="280"/>
      <c r="DP350" s="280"/>
      <c r="DQ350" s="280"/>
      <c r="DR350" s="280"/>
      <c r="DS350" s="280"/>
      <c r="DT350" s="280"/>
      <c r="DU350" s="280"/>
      <c r="DV350" s="280"/>
      <c r="DW350" s="280"/>
      <c r="DX350" s="280"/>
      <c r="DY350" s="280"/>
      <c r="DZ350" s="280"/>
      <c r="EA350" s="280"/>
      <c r="EB350" s="280"/>
      <c r="EC350" s="280"/>
      <c r="ED350" s="280"/>
      <c r="EE350" s="280"/>
      <c r="EF350" s="280"/>
      <c r="EG350" s="280"/>
      <c r="EH350" s="280"/>
      <c r="EI350" s="280"/>
      <c r="EJ350" s="280"/>
      <c r="EK350" s="280"/>
      <c r="EL350" s="280"/>
      <c r="EM350" s="280"/>
      <c r="EN350" s="280"/>
      <c r="EO350" s="280"/>
      <c r="EP350" s="521"/>
      <c r="EQ350" s="521"/>
      <c r="ER350" s="521"/>
      <c r="ES350" s="521"/>
      <c r="ET350" s="521"/>
      <c r="EU350" s="521"/>
      <c r="EV350" s="521"/>
      <c r="EW350" s="521"/>
      <c r="EX350" s="521"/>
      <c r="EY350" s="521"/>
      <c r="EZ350" s="521"/>
      <c r="FA350" s="521"/>
      <c r="FB350" s="521"/>
      <c r="FC350" s="521"/>
      <c r="FD350" s="521"/>
      <c r="FE350" s="521"/>
      <c r="FF350" s="521"/>
      <c r="FG350" s="521"/>
      <c r="FH350" s="567"/>
      <c r="FI350" s="567"/>
      <c r="FJ350" s="567"/>
      <c r="FK350" s="567"/>
      <c r="FL350" s="567"/>
      <c r="FM350" s="567"/>
      <c r="FN350" s="567"/>
      <c r="FO350" s="567"/>
    </row>
    <row r="351" spans="1:171" s="568" customFormat="1" ht="13.9" customHeight="1">
      <c r="A351" s="566"/>
      <c r="B351" s="566"/>
      <c r="C351" s="566"/>
      <c r="D351" s="569"/>
      <c r="E351" s="570"/>
      <c r="F351" s="571"/>
      <c r="G351" s="571"/>
      <c r="H351" s="571"/>
      <c r="I351" s="571"/>
      <c r="J351" s="571"/>
      <c r="K351" s="572"/>
      <c r="L351" s="569"/>
      <c r="M351" s="569"/>
      <c r="N351" s="569"/>
      <c r="O351" s="569"/>
      <c r="P351" s="566"/>
      <c r="Q351" s="566"/>
      <c r="R351" s="566"/>
      <c r="S351" s="566"/>
      <c r="T351" s="566"/>
      <c r="U351" s="566"/>
      <c r="V351" s="566"/>
      <c r="W351" s="566"/>
      <c r="X351" s="553"/>
      <c r="Y351" s="553"/>
      <c r="Z351" s="553"/>
      <c r="AA351" s="554"/>
      <c r="AB351" s="550"/>
      <c r="AC351" s="550"/>
      <c r="AD351" s="550"/>
      <c r="AE351" s="307"/>
      <c r="AF351" s="307"/>
      <c r="AG351" s="307"/>
      <c r="AH351" s="307"/>
      <c r="AI351" s="307"/>
      <c r="AJ351" s="307"/>
      <c r="AK351" s="307"/>
      <c r="AL351" s="307"/>
      <c r="AM351" s="307"/>
      <c r="AN351" s="307"/>
      <c r="AO351" s="307"/>
      <c r="AP351" s="307"/>
      <c r="AQ351" s="307"/>
      <c r="AR351" s="307"/>
      <c r="AS351" s="307"/>
      <c r="AT351" s="307"/>
      <c r="AU351" s="307"/>
      <c r="AV351" s="307"/>
      <c r="AW351" s="307"/>
      <c r="AX351" s="307"/>
      <c r="AY351" s="307"/>
      <c r="AZ351" s="307"/>
      <c r="BA351" s="307"/>
      <c r="BB351" s="307"/>
      <c r="BC351" s="307"/>
      <c r="BD351" s="307"/>
      <c r="BE351" s="307"/>
      <c r="BF351" s="307"/>
      <c r="BG351" s="307"/>
      <c r="BH351" s="307"/>
      <c r="BI351" s="307"/>
      <c r="BJ351" s="307"/>
      <c r="BK351" s="307"/>
      <c r="BL351" s="307"/>
      <c r="BM351" s="307"/>
      <c r="BN351" s="307"/>
      <c r="BO351" s="307"/>
      <c r="BP351" s="307"/>
      <c r="BQ351" s="307"/>
      <c r="BR351" s="307"/>
      <c r="BS351" s="307"/>
      <c r="BT351" s="307"/>
      <c r="BU351" s="307"/>
      <c r="BV351" s="307"/>
      <c r="BW351" s="307"/>
      <c r="BX351" s="307"/>
      <c r="BY351" s="307"/>
      <c r="BZ351" s="307"/>
      <c r="CA351" s="307"/>
      <c r="CB351" s="307"/>
      <c r="CC351" s="307"/>
      <c r="CD351" s="307"/>
      <c r="CE351" s="307"/>
      <c r="CF351" s="307"/>
      <c r="CG351" s="307"/>
      <c r="CH351" s="307"/>
      <c r="CI351" s="307"/>
      <c r="CJ351" s="307"/>
      <c r="CK351" s="307"/>
      <c r="CL351" s="307"/>
      <c r="CM351" s="307"/>
      <c r="CN351" s="307"/>
      <c r="CO351" s="307"/>
      <c r="CP351" s="307"/>
      <c r="CQ351" s="307"/>
      <c r="CR351" s="307"/>
      <c r="CS351" s="307"/>
      <c r="CT351" s="307"/>
      <c r="CU351" s="307"/>
      <c r="CV351" s="307"/>
      <c r="CW351" s="307"/>
      <c r="CX351" s="307"/>
      <c r="CY351" s="307"/>
      <c r="CZ351" s="307"/>
      <c r="DA351" s="307"/>
      <c r="DB351" s="280"/>
      <c r="DC351" s="280"/>
      <c r="DD351" s="280"/>
      <c r="DE351" s="280"/>
      <c r="DF351" s="280"/>
      <c r="DG351" s="280"/>
      <c r="DH351" s="280"/>
      <c r="DI351" s="280"/>
      <c r="DJ351" s="280"/>
      <c r="DK351" s="280"/>
      <c r="DL351" s="280"/>
      <c r="DM351" s="280"/>
      <c r="DN351" s="280"/>
      <c r="DO351" s="280"/>
      <c r="DP351" s="280"/>
      <c r="DQ351" s="280"/>
      <c r="DR351" s="280"/>
      <c r="DS351" s="280"/>
      <c r="DT351" s="280"/>
      <c r="DU351" s="280"/>
      <c r="DV351" s="280"/>
      <c r="DW351" s="280"/>
      <c r="DX351" s="280"/>
      <c r="DY351" s="280"/>
      <c r="DZ351" s="280"/>
      <c r="EA351" s="280"/>
      <c r="EB351" s="280"/>
      <c r="EC351" s="280"/>
      <c r="ED351" s="280"/>
      <c r="EE351" s="280"/>
      <c r="EF351" s="280"/>
      <c r="EG351" s="280"/>
      <c r="EH351" s="280"/>
      <c r="EI351" s="280"/>
      <c r="EJ351" s="280"/>
      <c r="EK351" s="280"/>
      <c r="EL351" s="280"/>
      <c r="EM351" s="280"/>
      <c r="EN351" s="280"/>
      <c r="EO351" s="280"/>
      <c r="EP351" s="521"/>
      <c r="EQ351" s="521"/>
      <c r="ER351" s="521"/>
      <c r="ES351" s="521"/>
      <c r="ET351" s="521"/>
      <c r="EU351" s="521"/>
      <c r="EV351" s="521"/>
      <c r="EW351" s="521"/>
      <c r="EX351" s="521"/>
      <c r="EY351" s="521"/>
      <c r="EZ351" s="521"/>
      <c r="FA351" s="521"/>
      <c r="FB351" s="521"/>
      <c r="FC351" s="521"/>
      <c r="FD351" s="521"/>
      <c r="FE351" s="521"/>
      <c r="FF351" s="521"/>
      <c r="FG351" s="521"/>
      <c r="FH351" s="567"/>
      <c r="FI351" s="567"/>
      <c r="FJ351" s="567"/>
      <c r="FK351" s="567"/>
      <c r="FL351" s="567"/>
      <c r="FM351" s="567"/>
      <c r="FN351" s="567"/>
      <c r="FO351" s="567"/>
    </row>
    <row r="352" spans="1:171" s="568" customFormat="1" ht="13.9" customHeight="1">
      <c r="A352" s="566"/>
      <c r="B352" s="566"/>
      <c r="C352" s="566"/>
      <c r="D352" s="569"/>
      <c r="E352" s="570"/>
      <c r="F352" s="571"/>
      <c r="G352" s="571"/>
      <c r="H352" s="571"/>
      <c r="I352" s="571"/>
      <c r="J352" s="571"/>
      <c r="K352" s="572"/>
      <c r="L352" s="569"/>
      <c r="M352" s="569"/>
      <c r="N352" s="569"/>
      <c r="O352" s="569"/>
      <c r="P352" s="566"/>
      <c r="Q352" s="566"/>
      <c r="R352" s="566"/>
      <c r="S352" s="566"/>
      <c r="T352" s="566"/>
      <c r="U352" s="566"/>
      <c r="V352" s="566"/>
      <c r="W352" s="566"/>
      <c r="X352" s="553"/>
      <c r="Y352" s="553"/>
      <c r="Z352" s="553"/>
      <c r="AA352" s="554"/>
      <c r="AB352" s="550"/>
      <c r="AC352" s="550"/>
      <c r="AD352" s="550"/>
      <c r="AE352" s="307"/>
      <c r="AF352" s="307"/>
      <c r="AG352" s="307"/>
      <c r="AH352" s="307"/>
      <c r="AI352" s="307"/>
      <c r="AJ352" s="307"/>
      <c r="AK352" s="307"/>
      <c r="AL352" s="307"/>
      <c r="AM352" s="307"/>
      <c r="AN352" s="307"/>
      <c r="AO352" s="307"/>
      <c r="AP352" s="307"/>
      <c r="AQ352" s="307"/>
      <c r="AR352" s="307"/>
      <c r="AS352" s="307"/>
      <c r="AT352" s="307"/>
      <c r="AU352" s="307"/>
      <c r="AV352" s="307"/>
      <c r="AW352" s="307"/>
      <c r="AX352" s="307"/>
      <c r="AY352" s="307"/>
      <c r="AZ352" s="307"/>
      <c r="BA352" s="307"/>
      <c r="BB352" s="307"/>
      <c r="BC352" s="307"/>
      <c r="BD352" s="307"/>
      <c r="BE352" s="307"/>
      <c r="BF352" s="307"/>
      <c r="BG352" s="307"/>
      <c r="BH352" s="307"/>
      <c r="BI352" s="307"/>
      <c r="BJ352" s="307"/>
      <c r="BK352" s="307"/>
      <c r="BL352" s="307"/>
      <c r="BM352" s="307"/>
      <c r="BN352" s="307"/>
      <c r="BO352" s="307"/>
      <c r="BP352" s="307"/>
      <c r="BQ352" s="307"/>
      <c r="BR352" s="307"/>
      <c r="BS352" s="307"/>
      <c r="BT352" s="307"/>
      <c r="BU352" s="307"/>
      <c r="BV352" s="307"/>
      <c r="BW352" s="307"/>
      <c r="BX352" s="307"/>
      <c r="BY352" s="307"/>
      <c r="BZ352" s="307"/>
      <c r="CA352" s="307"/>
      <c r="CB352" s="307"/>
      <c r="CC352" s="307"/>
      <c r="CD352" s="307"/>
      <c r="CE352" s="307"/>
      <c r="CF352" s="307"/>
      <c r="CG352" s="307"/>
      <c r="CH352" s="307"/>
      <c r="CI352" s="307"/>
      <c r="CJ352" s="307"/>
      <c r="CK352" s="307"/>
      <c r="CL352" s="307"/>
      <c r="CM352" s="307"/>
      <c r="CN352" s="307"/>
      <c r="CO352" s="307"/>
      <c r="CP352" s="307"/>
      <c r="CQ352" s="307"/>
      <c r="CR352" s="307"/>
      <c r="CS352" s="307"/>
      <c r="CT352" s="307"/>
      <c r="CU352" s="307"/>
      <c r="CV352" s="307"/>
      <c r="CW352" s="307"/>
      <c r="CX352" s="307"/>
      <c r="CY352" s="307"/>
      <c r="CZ352" s="307"/>
      <c r="DA352" s="307"/>
      <c r="DB352" s="280"/>
      <c r="DC352" s="280"/>
      <c r="DD352" s="280"/>
      <c r="DE352" s="280"/>
      <c r="DF352" s="280"/>
      <c r="DG352" s="280"/>
      <c r="DH352" s="280"/>
      <c r="DI352" s="280"/>
      <c r="DJ352" s="280"/>
      <c r="DK352" s="280"/>
      <c r="DL352" s="280"/>
      <c r="DM352" s="280"/>
      <c r="DN352" s="280"/>
      <c r="DO352" s="280"/>
      <c r="DP352" s="280"/>
      <c r="DQ352" s="280"/>
      <c r="DR352" s="280"/>
      <c r="DS352" s="280"/>
      <c r="DT352" s="280"/>
      <c r="DU352" s="280"/>
      <c r="DV352" s="280"/>
      <c r="DW352" s="280"/>
      <c r="DX352" s="280"/>
      <c r="DY352" s="280"/>
      <c r="DZ352" s="280"/>
      <c r="EA352" s="280"/>
      <c r="EB352" s="280"/>
      <c r="EC352" s="280"/>
      <c r="ED352" s="280"/>
      <c r="EE352" s="280"/>
      <c r="EF352" s="280"/>
      <c r="EG352" s="280"/>
      <c r="EH352" s="280"/>
      <c r="EI352" s="280"/>
      <c r="EJ352" s="280"/>
      <c r="EK352" s="280"/>
      <c r="EL352" s="280"/>
      <c r="EM352" s="280"/>
      <c r="EN352" s="280"/>
      <c r="EO352" s="280"/>
      <c r="EP352" s="521"/>
      <c r="EQ352" s="521"/>
      <c r="ER352" s="521"/>
      <c r="ES352" s="521"/>
      <c r="ET352" s="521"/>
      <c r="EU352" s="521"/>
      <c r="EV352" s="521"/>
      <c r="EW352" s="521"/>
      <c r="EX352" s="521"/>
      <c r="EY352" s="521"/>
      <c r="EZ352" s="521"/>
      <c r="FA352" s="521"/>
      <c r="FB352" s="521"/>
      <c r="FC352" s="521"/>
      <c r="FD352" s="521"/>
      <c r="FE352" s="521"/>
      <c r="FF352" s="521"/>
      <c r="FG352" s="521"/>
      <c r="FH352" s="567"/>
      <c r="FI352" s="567"/>
      <c r="FJ352" s="567"/>
      <c r="FK352" s="567"/>
      <c r="FL352" s="567"/>
      <c r="FM352" s="567"/>
      <c r="FN352" s="567"/>
      <c r="FO352" s="567"/>
    </row>
    <row r="353" spans="1:171" s="568" customFormat="1" ht="13.9" customHeight="1">
      <c r="A353" s="566"/>
      <c r="B353" s="566"/>
      <c r="C353" s="566"/>
      <c r="D353" s="569"/>
      <c r="E353" s="570"/>
      <c r="F353" s="571"/>
      <c r="G353" s="571"/>
      <c r="H353" s="571"/>
      <c r="I353" s="571"/>
      <c r="J353" s="571"/>
      <c r="K353" s="572"/>
      <c r="L353" s="569"/>
      <c r="M353" s="569"/>
      <c r="N353" s="569"/>
      <c r="O353" s="569"/>
      <c r="P353" s="566"/>
      <c r="Q353" s="566"/>
      <c r="R353" s="566"/>
      <c r="S353" s="566"/>
      <c r="T353" s="566"/>
      <c r="U353" s="566"/>
      <c r="V353" s="566"/>
      <c r="W353" s="566"/>
      <c r="X353" s="553"/>
      <c r="Y353" s="553"/>
      <c r="Z353" s="553"/>
      <c r="AA353" s="554"/>
      <c r="AB353" s="550"/>
      <c r="AC353" s="550"/>
      <c r="AD353" s="550"/>
      <c r="AE353" s="307"/>
      <c r="AF353" s="307"/>
      <c r="AG353" s="307"/>
      <c r="AH353" s="307"/>
      <c r="AI353" s="307"/>
      <c r="AJ353" s="307"/>
      <c r="AK353" s="307"/>
      <c r="AL353" s="307"/>
      <c r="AM353" s="307"/>
      <c r="AN353" s="307"/>
      <c r="AO353" s="307"/>
      <c r="AP353" s="307"/>
      <c r="AQ353" s="307"/>
      <c r="AR353" s="307"/>
      <c r="AS353" s="307"/>
      <c r="AT353" s="307"/>
      <c r="AU353" s="307"/>
      <c r="AV353" s="307"/>
      <c r="AW353" s="307"/>
      <c r="AX353" s="307"/>
      <c r="AY353" s="307"/>
      <c r="AZ353" s="307"/>
      <c r="BA353" s="307"/>
      <c r="BB353" s="307"/>
      <c r="BC353" s="307"/>
      <c r="BD353" s="307"/>
      <c r="BE353" s="307"/>
      <c r="BF353" s="307"/>
      <c r="BG353" s="307"/>
      <c r="BH353" s="307"/>
      <c r="BI353" s="307"/>
      <c r="BJ353" s="307"/>
      <c r="BK353" s="307"/>
      <c r="BL353" s="307"/>
      <c r="BM353" s="307"/>
      <c r="BN353" s="307"/>
      <c r="BO353" s="307"/>
      <c r="BP353" s="307"/>
      <c r="BQ353" s="307"/>
      <c r="BR353" s="307"/>
      <c r="BS353" s="307"/>
      <c r="BT353" s="307"/>
      <c r="BU353" s="307"/>
      <c r="BV353" s="307"/>
      <c r="BW353" s="307"/>
      <c r="BX353" s="307"/>
      <c r="BY353" s="307"/>
      <c r="BZ353" s="307"/>
      <c r="CA353" s="307"/>
      <c r="CB353" s="307"/>
      <c r="CC353" s="307"/>
      <c r="CD353" s="307"/>
      <c r="CE353" s="307"/>
      <c r="CF353" s="307"/>
      <c r="CG353" s="307"/>
      <c r="CH353" s="307"/>
      <c r="CI353" s="307"/>
      <c r="CJ353" s="307"/>
      <c r="CK353" s="307"/>
      <c r="CL353" s="307"/>
      <c r="CM353" s="307"/>
      <c r="CN353" s="307"/>
      <c r="CO353" s="307"/>
      <c r="CP353" s="307"/>
      <c r="CQ353" s="307"/>
      <c r="CR353" s="307"/>
      <c r="CS353" s="307"/>
      <c r="CT353" s="307"/>
      <c r="CU353" s="307"/>
      <c r="CV353" s="307"/>
      <c r="CW353" s="307"/>
      <c r="CX353" s="307"/>
      <c r="CY353" s="307"/>
      <c r="CZ353" s="307"/>
      <c r="DA353" s="307"/>
      <c r="DB353" s="280"/>
      <c r="DC353" s="280"/>
      <c r="DD353" s="280"/>
      <c r="DE353" s="280"/>
      <c r="DF353" s="280"/>
      <c r="DG353" s="280"/>
      <c r="DH353" s="280"/>
      <c r="DI353" s="280"/>
      <c r="DJ353" s="280"/>
      <c r="DK353" s="280"/>
      <c r="DL353" s="280"/>
      <c r="DM353" s="280"/>
      <c r="DN353" s="280"/>
      <c r="DO353" s="280"/>
      <c r="DP353" s="280"/>
      <c r="DQ353" s="280"/>
      <c r="DR353" s="280"/>
      <c r="DS353" s="280"/>
      <c r="DT353" s="280"/>
      <c r="DU353" s="280"/>
      <c r="DV353" s="280"/>
      <c r="DW353" s="280"/>
      <c r="DX353" s="280"/>
      <c r="DY353" s="280"/>
      <c r="DZ353" s="280"/>
      <c r="EA353" s="280"/>
      <c r="EB353" s="280"/>
      <c r="EC353" s="280"/>
      <c r="ED353" s="280"/>
      <c r="EE353" s="280"/>
      <c r="EF353" s="280"/>
      <c r="EG353" s="280"/>
      <c r="EH353" s="280"/>
      <c r="EI353" s="280"/>
      <c r="EJ353" s="280"/>
      <c r="EK353" s="280"/>
      <c r="EL353" s="280"/>
      <c r="EM353" s="280"/>
      <c r="EN353" s="280"/>
      <c r="EO353" s="280"/>
      <c r="EP353" s="521"/>
      <c r="EQ353" s="521"/>
      <c r="ER353" s="521"/>
      <c r="ES353" s="521"/>
      <c r="ET353" s="521"/>
      <c r="EU353" s="521"/>
      <c r="EV353" s="521"/>
      <c r="EW353" s="521"/>
      <c r="EX353" s="521"/>
      <c r="EY353" s="521"/>
      <c r="EZ353" s="521"/>
      <c r="FA353" s="521"/>
      <c r="FB353" s="521"/>
      <c r="FC353" s="521"/>
      <c r="FD353" s="521"/>
      <c r="FE353" s="521"/>
      <c r="FF353" s="521"/>
      <c r="FG353" s="521"/>
      <c r="FH353" s="567"/>
      <c r="FI353" s="567"/>
      <c r="FJ353" s="567"/>
      <c r="FK353" s="567"/>
      <c r="FL353" s="567"/>
      <c r="FM353" s="567"/>
      <c r="FN353" s="567"/>
      <c r="FO353" s="567"/>
    </row>
    <row r="354" spans="1:171" s="568" customFormat="1" ht="13.9" customHeight="1">
      <c r="A354" s="566"/>
      <c r="B354" s="566"/>
      <c r="C354" s="566"/>
      <c r="D354" s="569"/>
      <c r="E354" s="570"/>
      <c r="F354" s="571"/>
      <c r="G354" s="571"/>
      <c r="H354" s="571"/>
      <c r="I354" s="571"/>
      <c r="J354" s="571"/>
      <c r="K354" s="572"/>
      <c r="L354" s="569"/>
      <c r="M354" s="569"/>
      <c r="N354" s="569"/>
      <c r="O354" s="569"/>
      <c r="P354" s="566"/>
      <c r="Q354" s="566"/>
      <c r="R354" s="566"/>
      <c r="S354" s="566"/>
      <c r="T354" s="566"/>
      <c r="U354" s="566"/>
      <c r="V354" s="566"/>
      <c r="W354" s="566"/>
      <c r="X354" s="553"/>
      <c r="Y354" s="553"/>
      <c r="Z354" s="553"/>
      <c r="AA354" s="554"/>
      <c r="AB354" s="550"/>
      <c r="AC354" s="550"/>
      <c r="AD354" s="550"/>
      <c r="AE354" s="307"/>
      <c r="AF354" s="307"/>
      <c r="AG354" s="307"/>
      <c r="AH354" s="307"/>
      <c r="AI354" s="307"/>
      <c r="AJ354" s="307"/>
      <c r="AK354" s="307"/>
      <c r="AL354" s="307"/>
      <c r="AM354" s="307"/>
      <c r="AN354" s="307"/>
      <c r="AO354" s="307"/>
      <c r="AP354" s="307"/>
      <c r="AQ354" s="307"/>
      <c r="AR354" s="307"/>
      <c r="AS354" s="307"/>
      <c r="AT354" s="307"/>
      <c r="AU354" s="307"/>
      <c r="AV354" s="307"/>
      <c r="AW354" s="307"/>
      <c r="AX354" s="307"/>
      <c r="AY354" s="307"/>
      <c r="AZ354" s="307"/>
      <c r="BA354" s="307"/>
      <c r="BB354" s="307"/>
      <c r="BC354" s="307"/>
      <c r="BD354" s="307"/>
      <c r="BE354" s="307"/>
      <c r="BF354" s="307"/>
      <c r="BG354" s="307"/>
      <c r="BH354" s="307"/>
      <c r="BI354" s="307"/>
      <c r="BJ354" s="307"/>
      <c r="BK354" s="307"/>
      <c r="BL354" s="307"/>
      <c r="BM354" s="307"/>
      <c r="BN354" s="307"/>
      <c r="BO354" s="307"/>
      <c r="BP354" s="307"/>
      <c r="BQ354" s="307"/>
      <c r="BR354" s="307"/>
      <c r="BS354" s="307"/>
      <c r="BT354" s="307"/>
      <c r="BU354" s="307"/>
      <c r="BV354" s="307"/>
      <c r="BW354" s="307"/>
      <c r="BX354" s="307"/>
      <c r="BY354" s="307"/>
      <c r="BZ354" s="307"/>
      <c r="CA354" s="307"/>
      <c r="CB354" s="307"/>
      <c r="CC354" s="307"/>
      <c r="CD354" s="307"/>
      <c r="CE354" s="307"/>
      <c r="CF354" s="307"/>
      <c r="CG354" s="307"/>
      <c r="CH354" s="307"/>
      <c r="CI354" s="307"/>
      <c r="CJ354" s="307"/>
      <c r="CK354" s="307"/>
      <c r="CL354" s="307"/>
      <c r="CM354" s="307"/>
      <c r="CN354" s="307"/>
      <c r="CO354" s="307"/>
      <c r="CP354" s="307"/>
      <c r="CQ354" s="307"/>
      <c r="CR354" s="307"/>
      <c r="CS354" s="307"/>
      <c r="CT354" s="307"/>
      <c r="CU354" s="307"/>
      <c r="CV354" s="307"/>
      <c r="CW354" s="307"/>
      <c r="CX354" s="307"/>
      <c r="CY354" s="307"/>
      <c r="CZ354" s="307"/>
      <c r="DA354" s="307"/>
      <c r="DB354" s="280"/>
      <c r="DC354" s="280"/>
      <c r="DD354" s="280"/>
      <c r="DE354" s="280"/>
      <c r="DF354" s="280"/>
      <c r="DG354" s="280"/>
      <c r="DH354" s="280"/>
      <c r="DI354" s="280"/>
      <c r="DJ354" s="280"/>
      <c r="DK354" s="280"/>
      <c r="DL354" s="280"/>
      <c r="DM354" s="280"/>
      <c r="DN354" s="280"/>
      <c r="DO354" s="280"/>
      <c r="DP354" s="280"/>
      <c r="DQ354" s="280"/>
      <c r="DR354" s="280"/>
      <c r="DS354" s="280"/>
      <c r="DT354" s="280"/>
      <c r="DU354" s="280"/>
      <c r="DV354" s="280"/>
      <c r="DW354" s="280"/>
      <c r="DX354" s="280"/>
      <c r="DY354" s="280"/>
      <c r="DZ354" s="280"/>
      <c r="EA354" s="280"/>
      <c r="EB354" s="280"/>
      <c r="EC354" s="280"/>
      <c r="ED354" s="280"/>
      <c r="EE354" s="280"/>
      <c r="EF354" s="280"/>
      <c r="EG354" s="280"/>
      <c r="EH354" s="280"/>
      <c r="EI354" s="280"/>
      <c r="EJ354" s="280"/>
      <c r="EK354" s="280"/>
      <c r="EL354" s="280"/>
      <c r="EM354" s="280"/>
      <c r="EN354" s="280"/>
      <c r="EO354" s="280"/>
      <c r="EP354" s="521"/>
      <c r="EQ354" s="521"/>
      <c r="ER354" s="521"/>
      <c r="ES354" s="521"/>
      <c r="ET354" s="521"/>
      <c r="EU354" s="521"/>
      <c r="EV354" s="521"/>
      <c r="EW354" s="521"/>
      <c r="EX354" s="521"/>
      <c r="EY354" s="521"/>
      <c r="EZ354" s="521"/>
      <c r="FA354" s="521"/>
      <c r="FB354" s="521"/>
      <c r="FC354" s="521"/>
      <c r="FD354" s="521"/>
      <c r="FE354" s="521"/>
      <c r="FF354" s="521"/>
      <c r="FG354" s="521"/>
      <c r="FH354" s="567"/>
      <c r="FI354" s="567"/>
      <c r="FJ354" s="567"/>
      <c r="FK354" s="567"/>
      <c r="FL354" s="567"/>
      <c r="FM354" s="567"/>
      <c r="FN354" s="567"/>
      <c r="FO354" s="567"/>
    </row>
    <row r="355" spans="1:171" s="568" customFormat="1" ht="13.9" customHeight="1">
      <c r="A355" s="566"/>
      <c r="B355" s="566"/>
      <c r="C355" s="566"/>
      <c r="D355" s="569"/>
      <c r="E355" s="570"/>
      <c r="F355" s="571"/>
      <c r="G355" s="571"/>
      <c r="H355" s="571"/>
      <c r="I355" s="571"/>
      <c r="J355" s="571"/>
      <c r="K355" s="572"/>
      <c r="L355" s="569"/>
      <c r="M355" s="569"/>
      <c r="N355" s="569"/>
      <c r="O355" s="569"/>
      <c r="P355" s="566"/>
      <c r="Q355" s="566"/>
      <c r="R355" s="566"/>
      <c r="S355" s="566"/>
      <c r="T355" s="566"/>
      <c r="U355" s="566"/>
      <c r="V355" s="566"/>
      <c r="W355" s="566"/>
      <c r="X355" s="553"/>
      <c r="Y355" s="553"/>
      <c r="Z355" s="553"/>
      <c r="AA355" s="554"/>
      <c r="AB355" s="550"/>
      <c r="AC355" s="550"/>
      <c r="AD355" s="550"/>
      <c r="AE355" s="307"/>
      <c r="AF355" s="307"/>
      <c r="AG355" s="307"/>
      <c r="AH355" s="307"/>
      <c r="AI355" s="307"/>
      <c r="AJ355" s="307"/>
      <c r="AK355" s="307"/>
      <c r="AL355" s="307"/>
      <c r="AM355" s="307"/>
      <c r="AN355" s="307"/>
      <c r="AO355" s="307"/>
      <c r="AP355" s="307"/>
      <c r="AQ355" s="307"/>
      <c r="AR355" s="307"/>
      <c r="AS355" s="307"/>
      <c r="AT355" s="307"/>
      <c r="AU355" s="307"/>
      <c r="AV355" s="307"/>
      <c r="AW355" s="307"/>
      <c r="AX355" s="307"/>
      <c r="AY355" s="307"/>
      <c r="AZ355" s="307"/>
      <c r="BA355" s="307"/>
      <c r="BB355" s="307"/>
      <c r="BC355" s="307"/>
      <c r="BD355" s="307"/>
      <c r="BE355" s="307"/>
      <c r="BF355" s="307"/>
      <c r="BG355" s="307"/>
      <c r="BH355" s="307"/>
      <c r="BI355" s="307"/>
      <c r="BJ355" s="307"/>
      <c r="BK355" s="307"/>
      <c r="BL355" s="307"/>
      <c r="BM355" s="307"/>
      <c r="BN355" s="307"/>
      <c r="BO355" s="307"/>
      <c r="BP355" s="307"/>
      <c r="BQ355" s="307"/>
      <c r="BR355" s="307"/>
      <c r="BS355" s="307"/>
      <c r="BT355" s="307"/>
      <c r="BU355" s="307"/>
      <c r="BV355" s="307"/>
      <c r="BW355" s="307"/>
      <c r="BX355" s="307"/>
      <c r="BY355" s="307"/>
      <c r="BZ355" s="307"/>
      <c r="CA355" s="307"/>
      <c r="CB355" s="307"/>
      <c r="CC355" s="307"/>
      <c r="CD355" s="307"/>
      <c r="CE355" s="307"/>
      <c r="CF355" s="307"/>
      <c r="CG355" s="307"/>
      <c r="CH355" s="307"/>
      <c r="CI355" s="307"/>
      <c r="CJ355" s="307"/>
      <c r="CK355" s="307"/>
      <c r="CL355" s="307"/>
      <c r="CM355" s="307"/>
      <c r="CN355" s="307"/>
      <c r="CO355" s="307"/>
      <c r="CP355" s="307"/>
      <c r="CQ355" s="307"/>
      <c r="CR355" s="307"/>
      <c r="CS355" s="307"/>
      <c r="CT355" s="307"/>
      <c r="CU355" s="307"/>
      <c r="CV355" s="307"/>
      <c r="CW355" s="307"/>
      <c r="CX355" s="307"/>
      <c r="CY355" s="307"/>
      <c r="CZ355" s="307"/>
      <c r="DA355" s="307"/>
      <c r="DB355" s="280"/>
      <c r="DC355" s="280"/>
      <c r="DD355" s="280"/>
      <c r="DE355" s="280"/>
      <c r="DF355" s="280"/>
      <c r="DG355" s="280"/>
      <c r="DH355" s="280"/>
      <c r="DI355" s="280"/>
      <c r="DJ355" s="280"/>
      <c r="DK355" s="280"/>
      <c r="DL355" s="280"/>
      <c r="DM355" s="280"/>
      <c r="DN355" s="280"/>
      <c r="DO355" s="280"/>
      <c r="DP355" s="280"/>
      <c r="DQ355" s="280"/>
      <c r="DR355" s="280"/>
      <c r="DS355" s="280"/>
      <c r="DT355" s="280"/>
      <c r="DU355" s="280"/>
      <c r="DV355" s="280"/>
      <c r="DW355" s="280"/>
      <c r="DX355" s="280"/>
      <c r="DY355" s="280"/>
      <c r="DZ355" s="280"/>
      <c r="EA355" s="280"/>
      <c r="EB355" s="280"/>
      <c r="EC355" s="280"/>
      <c r="ED355" s="280"/>
      <c r="EE355" s="280"/>
      <c r="EF355" s="280"/>
      <c r="EG355" s="280"/>
      <c r="EH355" s="280"/>
      <c r="EI355" s="280"/>
      <c r="EJ355" s="280"/>
      <c r="EK355" s="280"/>
      <c r="EL355" s="280"/>
      <c r="EM355" s="280"/>
      <c r="EN355" s="280"/>
      <c r="EO355" s="280"/>
      <c r="EP355" s="521"/>
      <c r="EQ355" s="521"/>
      <c r="ER355" s="521"/>
      <c r="ES355" s="521"/>
      <c r="ET355" s="521"/>
      <c r="EU355" s="521"/>
      <c r="EV355" s="521"/>
      <c r="EW355" s="521"/>
      <c r="EX355" s="521"/>
      <c r="EY355" s="521"/>
      <c r="EZ355" s="521"/>
      <c r="FA355" s="521"/>
      <c r="FB355" s="521"/>
      <c r="FC355" s="521"/>
      <c r="FD355" s="521"/>
      <c r="FE355" s="521"/>
      <c r="FF355" s="521"/>
      <c r="FG355" s="521"/>
      <c r="FH355" s="567"/>
      <c r="FI355" s="567"/>
      <c r="FJ355" s="567"/>
      <c r="FK355" s="567"/>
      <c r="FL355" s="567"/>
      <c r="FM355" s="567"/>
      <c r="FN355" s="567"/>
      <c r="FO355" s="567"/>
    </row>
    <row r="356" spans="1:171" s="568" customFormat="1" ht="13.9" customHeight="1">
      <c r="A356" s="566"/>
      <c r="B356" s="566"/>
      <c r="C356" s="566"/>
      <c r="D356" s="569"/>
      <c r="E356" s="570"/>
      <c r="F356" s="571"/>
      <c r="G356" s="571"/>
      <c r="H356" s="571"/>
      <c r="I356" s="571"/>
      <c r="J356" s="571"/>
      <c r="K356" s="572"/>
      <c r="L356" s="569"/>
      <c r="M356" s="569"/>
      <c r="N356" s="569"/>
      <c r="O356" s="569"/>
      <c r="P356" s="566"/>
      <c r="Q356" s="566"/>
      <c r="R356" s="566"/>
      <c r="S356" s="566"/>
      <c r="T356" s="566"/>
      <c r="U356" s="566"/>
      <c r="V356" s="566"/>
      <c r="W356" s="566"/>
      <c r="X356" s="553"/>
      <c r="Y356" s="553"/>
      <c r="Z356" s="553"/>
      <c r="AA356" s="554"/>
      <c r="AB356" s="550"/>
      <c r="AC356" s="550"/>
      <c r="AD356" s="550"/>
      <c r="AE356" s="307"/>
      <c r="AF356" s="307"/>
      <c r="AG356" s="307"/>
      <c r="AH356" s="307"/>
      <c r="AI356" s="307"/>
      <c r="AJ356" s="307"/>
      <c r="AK356" s="307"/>
      <c r="AL356" s="307"/>
      <c r="AM356" s="307"/>
      <c r="AN356" s="307"/>
      <c r="AO356" s="307"/>
      <c r="AP356" s="307"/>
      <c r="AQ356" s="307"/>
      <c r="AR356" s="307"/>
      <c r="AS356" s="307"/>
      <c r="AT356" s="307"/>
      <c r="AU356" s="307"/>
      <c r="AV356" s="307"/>
      <c r="AW356" s="307"/>
      <c r="AX356" s="307"/>
      <c r="AY356" s="307"/>
      <c r="AZ356" s="307"/>
      <c r="BA356" s="307"/>
      <c r="BB356" s="307"/>
      <c r="BC356" s="307"/>
      <c r="BD356" s="307"/>
      <c r="BE356" s="307"/>
      <c r="BF356" s="307"/>
      <c r="BG356" s="307"/>
      <c r="BH356" s="307"/>
      <c r="BI356" s="307"/>
      <c r="BJ356" s="307"/>
      <c r="BK356" s="307"/>
      <c r="BL356" s="307"/>
      <c r="BM356" s="307"/>
      <c r="BN356" s="307"/>
      <c r="BO356" s="307"/>
      <c r="BP356" s="307"/>
      <c r="BQ356" s="307"/>
      <c r="BR356" s="307"/>
      <c r="BS356" s="307"/>
      <c r="BT356" s="307"/>
      <c r="BU356" s="307"/>
      <c r="BV356" s="307"/>
      <c r="BW356" s="307"/>
      <c r="BX356" s="307"/>
      <c r="BY356" s="307"/>
      <c r="BZ356" s="307"/>
      <c r="CA356" s="307"/>
      <c r="CB356" s="307"/>
      <c r="CC356" s="307"/>
      <c r="CD356" s="307"/>
      <c r="CE356" s="307"/>
      <c r="CF356" s="307"/>
      <c r="CG356" s="307"/>
      <c r="CH356" s="307"/>
      <c r="CI356" s="307"/>
      <c r="CJ356" s="307"/>
      <c r="CK356" s="307"/>
      <c r="CL356" s="307"/>
      <c r="CM356" s="307"/>
      <c r="CN356" s="307"/>
      <c r="CO356" s="307"/>
      <c r="CP356" s="307"/>
      <c r="CQ356" s="307"/>
      <c r="CR356" s="307"/>
      <c r="CS356" s="307"/>
      <c r="CT356" s="307"/>
      <c r="CU356" s="307"/>
      <c r="CV356" s="307"/>
      <c r="CW356" s="307"/>
      <c r="CX356" s="307"/>
      <c r="CY356" s="307"/>
      <c r="CZ356" s="307"/>
      <c r="DA356" s="307"/>
      <c r="DB356" s="280"/>
      <c r="DC356" s="280"/>
      <c r="DD356" s="280"/>
      <c r="DE356" s="280"/>
      <c r="DF356" s="280"/>
      <c r="DG356" s="280"/>
      <c r="DH356" s="280"/>
      <c r="DI356" s="280"/>
      <c r="DJ356" s="280"/>
      <c r="DK356" s="280"/>
      <c r="DL356" s="280"/>
      <c r="DM356" s="280"/>
      <c r="DN356" s="280"/>
      <c r="DO356" s="280"/>
      <c r="DP356" s="280"/>
      <c r="DQ356" s="280"/>
      <c r="DR356" s="280"/>
      <c r="DS356" s="280"/>
      <c r="DT356" s="280"/>
      <c r="DU356" s="280"/>
      <c r="DV356" s="280"/>
      <c r="DW356" s="280"/>
      <c r="DX356" s="280"/>
      <c r="DY356" s="280"/>
      <c r="DZ356" s="280"/>
      <c r="EA356" s="280"/>
      <c r="EB356" s="280"/>
      <c r="EC356" s="280"/>
      <c r="ED356" s="280"/>
      <c r="EE356" s="280"/>
      <c r="EF356" s="280"/>
      <c r="EG356" s="280"/>
      <c r="EH356" s="280"/>
      <c r="EI356" s="280"/>
      <c r="EJ356" s="280"/>
      <c r="EK356" s="280"/>
      <c r="EL356" s="280"/>
      <c r="EM356" s="280"/>
      <c r="EN356" s="280"/>
      <c r="EO356" s="280"/>
      <c r="EP356" s="521"/>
      <c r="EQ356" s="521"/>
      <c r="ER356" s="521"/>
      <c r="ES356" s="521"/>
      <c r="ET356" s="521"/>
      <c r="EU356" s="521"/>
      <c r="EV356" s="521"/>
      <c r="EW356" s="521"/>
      <c r="EX356" s="521"/>
      <c r="EY356" s="521"/>
      <c r="EZ356" s="521"/>
      <c r="FA356" s="521"/>
      <c r="FB356" s="521"/>
      <c r="FC356" s="521"/>
      <c r="FD356" s="521"/>
      <c r="FE356" s="521"/>
      <c r="FF356" s="521"/>
      <c r="FG356" s="521"/>
      <c r="FH356" s="567"/>
      <c r="FI356" s="567"/>
      <c r="FJ356" s="567"/>
      <c r="FK356" s="567"/>
      <c r="FL356" s="567"/>
      <c r="FM356" s="567"/>
      <c r="FN356" s="567"/>
      <c r="FO356" s="567"/>
    </row>
    <row r="357" spans="1:171" s="568" customFormat="1" ht="13.9" customHeight="1">
      <c r="A357" s="566"/>
      <c r="B357" s="566"/>
      <c r="C357" s="566"/>
      <c r="D357" s="569"/>
      <c r="E357" s="570"/>
      <c r="F357" s="571"/>
      <c r="G357" s="571"/>
      <c r="H357" s="571"/>
      <c r="I357" s="571"/>
      <c r="J357" s="571"/>
      <c r="K357" s="572"/>
      <c r="L357" s="569"/>
      <c r="M357" s="569"/>
      <c r="N357" s="569"/>
      <c r="O357" s="569"/>
      <c r="P357" s="566"/>
      <c r="Q357" s="566"/>
      <c r="R357" s="566"/>
      <c r="S357" s="566"/>
      <c r="T357" s="566"/>
      <c r="U357" s="566"/>
      <c r="V357" s="566"/>
      <c r="W357" s="566"/>
      <c r="X357" s="553"/>
      <c r="Y357" s="553"/>
      <c r="Z357" s="553"/>
      <c r="AA357" s="554"/>
      <c r="AB357" s="550"/>
      <c r="AC357" s="550"/>
      <c r="AD357" s="550"/>
      <c r="AE357" s="307"/>
      <c r="AF357" s="307"/>
      <c r="AG357" s="307"/>
      <c r="AH357" s="307"/>
      <c r="AI357" s="307"/>
      <c r="AJ357" s="307"/>
      <c r="AK357" s="307"/>
      <c r="AL357" s="307"/>
      <c r="AM357" s="307"/>
      <c r="AN357" s="307"/>
      <c r="AO357" s="307"/>
      <c r="AP357" s="307"/>
      <c r="AQ357" s="307"/>
      <c r="AR357" s="307"/>
      <c r="AS357" s="307"/>
      <c r="AT357" s="307"/>
      <c r="AU357" s="307"/>
      <c r="AV357" s="307"/>
      <c r="AW357" s="307"/>
      <c r="AX357" s="307"/>
      <c r="AY357" s="307"/>
      <c r="AZ357" s="307"/>
      <c r="BA357" s="307"/>
      <c r="BB357" s="307"/>
      <c r="BC357" s="307"/>
      <c r="BD357" s="307"/>
      <c r="BE357" s="307"/>
      <c r="BF357" s="307"/>
      <c r="BG357" s="307"/>
      <c r="BH357" s="307"/>
      <c r="BI357" s="307"/>
      <c r="BJ357" s="307"/>
      <c r="BK357" s="307"/>
      <c r="BL357" s="307"/>
      <c r="BM357" s="307"/>
      <c r="BN357" s="307"/>
      <c r="BO357" s="307"/>
      <c r="BP357" s="307"/>
      <c r="BQ357" s="307"/>
      <c r="BR357" s="307"/>
      <c r="BS357" s="307"/>
      <c r="BT357" s="307"/>
      <c r="BU357" s="307"/>
      <c r="BV357" s="307"/>
      <c r="BW357" s="307"/>
      <c r="BX357" s="307"/>
      <c r="BY357" s="307"/>
      <c r="BZ357" s="307"/>
      <c r="CA357" s="307"/>
      <c r="CB357" s="307"/>
      <c r="CC357" s="307"/>
      <c r="CD357" s="307"/>
      <c r="CE357" s="307"/>
      <c r="CF357" s="307"/>
      <c r="CG357" s="307"/>
      <c r="CH357" s="307"/>
      <c r="CI357" s="307"/>
      <c r="CJ357" s="307"/>
      <c r="CK357" s="307"/>
      <c r="CL357" s="307"/>
      <c r="CM357" s="307"/>
      <c r="CN357" s="307"/>
      <c r="CO357" s="307"/>
      <c r="CP357" s="307"/>
      <c r="CQ357" s="307"/>
      <c r="CR357" s="307"/>
      <c r="CS357" s="307"/>
      <c r="CT357" s="307"/>
      <c r="CU357" s="307"/>
      <c r="CV357" s="307"/>
      <c r="CW357" s="307"/>
      <c r="CX357" s="307"/>
      <c r="CY357" s="307"/>
      <c r="CZ357" s="307"/>
      <c r="DA357" s="307"/>
      <c r="DB357" s="280"/>
      <c r="DC357" s="280"/>
      <c r="DD357" s="280"/>
      <c r="DE357" s="280"/>
      <c r="DF357" s="280"/>
      <c r="DG357" s="280"/>
      <c r="DH357" s="280"/>
      <c r="DI357" s="280"/>
      <c r="DJ357" s="280"/>
      <c r="DK357" s="280"/>
      <c r="DL357" s="280"/>
      <c r="DM357" s="280"/>
      <c r="DN357" s="280"/>
      <c r="DO357" s="280"/>
      <c r="DP357" s="280"/>
      <c r="DQ357" s="280"/>
      <c r="DR357" s="280"/>
      <c r="DS357" s="280"/>
      <c r="DT357" s="280"/>
      <c r="DU357" s="280"/>
      <c r="DV357" s="280"/>
      <c r="DW357" s="280"/>
      <c r="DX357" s="280"/>
      <c r="DY357" s="280"/>
      <c r="DZ357" s="280"/>
      <c r="EA357" s="280"/>
      <c r="EB357" s="280"/>
      <c r="EC357" s="280"/>
      <c r="ED357" s="280"/>
      <c r="EE357" s="280"/>
      <c r="EF357" s="280"/>
      <c r="EG357" s="280"/>
      <c r="EH357" s="280"/>
      <c r="EI357" s="280"/>
      <c r="EJ357" s="280"/>
      <c r="EK357" s="280"/>
      <c r="EL357" s="280"/>
      <c r="EM357" s="280"/>
      <c r="EN357" s="280"/>
      <c r="EO357" s="280"/>
      <c r="EP357" s="521"/>
      <c r="EQ357" s="521"/>
      <c r="ER357" s="521"/>
      <c r="ES357" s="521"/>
      <c r="ET357" s="521"/>
      <c r="EU357" s="521"/>
      <c r="EV357" s="521"/>
      <c r="EW357" s="521"/>
      <c r="EX357" s="521"/>
      <c r="EY357" s="521"/>
      <c r="EZ357" s="521"/>
      <c r="FA357" s="521"/>
      <c r="FB357" s="521"/>
      <c r="FC357" s="521"/>
      <c r="FD357" s="521"/>
      <c r="FE357" s="521"/>
      <c r="FF357" s="521"/>
      <c r="FG357" s="521"/>
      <c r="FH357" s="567"/>
      <c r="FI357" s="567"/>
      <c r="FJ357" s="567"/>
      <c r="FK357" s="567"/>
      <c r="FL357" s="567"/>
      <c r="FM357" s="567"/>
      <c r="FN357" s="567"/>
      <c r="FO357" s="567"/>
    </row>
    <row r="358" spans="1:171" s="568" customFormat="1" ht="13.9" customHeight="1">
      <c r="A358" s="566"/>
      <c r="B358" s="566"/>
      <c r="C358" s="566"/>
      <c r="D358" s="569"/>
      <c r="E358" s="570"/>
      <c r="F358" s="571"/>
      <c r="G358" s="571"/>
      <c r="H358" s="571"/>
      <c r="I358" s="571"/>
      <c r="J358" s="571"/>
      <c r="K358" s="572"/>
      <c r="L358" s="569"/>
      <c r="M358" s="569"/>
      <c r="N358" s="569"/>
      <c r="O358" s="569"/>
      <c r="P358" s="566"/>
      <c r="Q358" s="566"/>
      <c r="R358" s="566"/>
      <c r="S358" s="566"/>
      <c r="T358" s="566"/>
      <c r="U358" s="566"/>
      <c r="V358" s="566"/>
      <c r="W358" s="566"/>
      <c r="X358" s="553"/>
      <c r="Y358" s="553"/>
      <c r="Z358" s="553"/>
      <c r="AA358" s="554"/>
      <c r="AB358" s="550"/>
      <c r="AC358" s="550"/>
      <c r="AD358" s="550"/>
      <c r="AE358" s="307"/>
      <c r="AF358" s="307"/>
      <c r="AG358" s="307"/>
      <c r="AH358" s="307"/>
      <c r="AI358" s="307"/>
      <c r="AJ358" s="307"/>
      <c r="AK358" s="307"/>
      <c r="AL358" s="307"/>
      <c r="AM358" s="307"/>
      <c r="AN358" s="307"/>
      <c r="AO358" s="307"/>
      <c r="AP358" s="307"/>
      <c r="AQ358" s="307"/>
      <c r="AR358" s="307"/>
      <c r="AS358" s="307"/>
      <c r="AT358" s="307"/>
      <c r="AU358" s="307"/>
      <c r="AV358" s="307"/>
      <c r="AW358" s="307"/>
      <c r="AX358" s="307"/>
      <c r="AY358" s="307"/>
      <c r="AZ358" s="307"/>
      <c r="BA358" s="307"/>
      <c r="BB358" s="307"/>
      <c r="BC358" s="307"/>
      <c r="BD358" s="307"/>
      <c r="BE358" s="307"/>
      <c r="BF358" s="307"/>
      <c r="BG358" s="307"/>
      <c r="BH358" s="307"/>
      <c r="BI358" s="307"/>
      <c r="BJ358" s="307"/>
      <c r="BK358" s="307"/>
      <c r="BL358" s="307"/>
      <c r="BM358" s="307"/>
      <c r="BN358" s="307"/>
      <c r="BO358" s="307"/>
      <c r="BP358" s="307"/>
      <c r="BQ358" s="307"/>
      <c r="BR358" s="307"/>
      <c r="BS358" s="307"/>
      <c r="BT358" s="307"/>
      <c r="BU358" s="307"/>
      <c r="BV358" s="307"/>
      <c r="BW358" s="307"/>
      <c r="BX358" s="307"/>
      <c r="BY358" s="307"/>
      <c r="BZ358" s="307"/>
      <c r="CA358" s="307"/>
      <c r="CB358" s="307"/>
      <c r="CC358" s="307"/>
      <c r="CD358" s="307"/>
      <c r="CE358" s="307"/>
      <c r="CF358" s="307"/>
      <c r="CG358" s="307"/>
      <c r="CH358" s="307"/>
      <c r="CI358" s="307"/>
      <c r="CJ358" s="307"/>
      <c r="CK358" s="307"/>
      <c r="CL358" s="307"/>
      <c r="CM358" s="307"/>
      <c r="CN358" s="307"/>
      <c r="CO358" s="307"/>
      <c r="CP358" s="307"/>
      <c r="CQ358" s="307"/>
      <c r="CR358" s="307"/>
      <c r="CS358" s="307"/>
      <c r="CT358" s="307"/>
      <c r="CU358" s="307"/>
      <c r="CV358" s="307"/>
      <c r="CW358" s="307"/>
      <c r="CX358" s="307"/>
      <c r="CY358" s="307"/>
      <c r="CZ358" s="307"/>
      <c r="DA358" s="307"/>
      <c r="DB358" s="280"/>
      <c r="DC358" s="280"/>
      <c r="DD358" s="280"/>
      <c r="DE358" s="280"/>
      <c r="DF358" s="280"/>
      <c r="DG358" s="280"/>
      <c r="DH358" s="280"/>
      <c r="DI358" s="280"/>
      <c r="DJ358" s="280"/>
      <c r="DK358" s="280"/>
      <c r="DL358" s="280"/>
      <c r="DM358" s="280"/>
      <c r="DN358" s="280"/>
      <c r="DO358" s="280"/>
      <c r="DP358" s="280"/>
      <c r="DQ358" s="280"/>
      <c r="DR358" s="280"/>
      <c r="DS358" s="280"/>
      <c r="DT358" s="280"/>
      <c r="DU358" s="280"/>
      <c r="DV358" s="280"/>
      <c r="DW358" s="280"/>
      <c r="DX358" s="280"/>
      <c r="DY358" s="280"/>
      <c r="DZ358" s="280"/>
      <c r="EA358" s="280"/>
      <c r="EB358" s="280"/>
      <c r="EC358" s="280"/>
      <c r="ED358" s="280"/>
      <c r="EE358" s="280"/>
      <c r="EF358" s="280"/>
      <c r="EG358" s="280"/>
      <c r="EH358" s="280"/>
      <c r="EI358" s="280"/>
      <c r="EJ358" s="280"/>
      <c r="EK358" s="280"/>
      <c r="EL358" s="280"/>
      <c r="EM358" s="280"/>
      <c r="EN358" s="280"/>
      <c r="EO358" s="280"/>
      <c r="EP358" s="521"/>
      <c r="EQ358" s="521"/>
      <c r="ER358" s="521"/>
      <c r="ES358" s="521"/>
      <c r="ET358" s="521"/>
      <c r="EU358" s="521"/>
      <c r="EV358" s="521"/>
      <c r="EW358" s="521"/>
      <c r="EX358" s="521"/>
      <c r="EY358" s="521"/>
      <c r="EZ358" s="521"/>
      <c r="FA358" s="521"/>
      <c r="FB358" s="521"/>
      <c r="FC358" s="521"/>
      <c r="FD358" s="521"/>
      <c r="FE358" s="521"/>
      <c r="FF358" s="521"/>
      <c r="FG358" s="521"/>
      <c r="FH358" s="567"/>
      <c r="FI358" s="567"/>
      <c r="FJ358" s="567"/>
      <c r="FK358" s="567"/>
      <c r="FL358" s="567"/>
      <c r="FM358" s="567"/>
      <c r="FN358" s="567"/>
      <c r="FO358" s="567"/>
    </row>
    <row r="359" spans="1:171" s="568" customFormat="1" ht="13.9" customHeight="1">
      <c r="A359" s="566"/>
      <c r="B359" s="566"/>
      <c r="C359" s="566"/>
      <c r="D359" s="569"/>
      <c r="E359" s="570"/>
      <c r="F359" s="571"/>
      <c r="G359" s="571"/>
      <c r="H359" s="571"/>
      <c r="I359" s="571"/>
      <c r="J359" s="571"/>
      <c r="K359" s="572"/>
      <c r="L359" s="569"/>
      <c r="M359" s="569"/>
      <c r="N359" s="569"/>
      <c r="O359" s="569"/>
      <c r="P359" s="566"/>
      <c r="Q359" s="566"/>
      <c r="R359" s="566"/>
      <c r="S359" s="566"/>
      <c r="T359" s="566"/>
      <c r="U359" s="566"/>
      <c r="V359" s="566"/>
      <c r="W359" s="566"/>
      <c r="X359" s="553"/>
      <c r="Y359" s="553"/>
      <c r="Z359" s="553"/>
      <c r="AA359" s="554"/>
      <c r="AB359" s="550"/>
      <c r="AC359" s="550"/>
      <c r="AD359" s="550"/>
      <c r="AE359" s="307"/>
      <c r="AF359" s="307"/>
      <c r="AG359" s="307"/>
      <c r="AH359" s="307"/>
      <c r="AI359" s="307"/>
      <c r="AJ359" s="307"/>
      <c r="AK359" s="307"/>
      <c r="AL359" s="307"/>
      <c r="AM359" s="307"/>
      <c r="AN359" s="307"/>
      <c r="AO359" s="307"/>
      <c r="AP359" s="307"/>
      <c r="AQ359" s="307"/>
      <c r="AR359" s="307"/>
      <c r="AS359" s="307"/>
      <c r="AT359" s="307"/>
      <c r="AU359" s="307"/>
      <c r="AV359" s="307"/>
      <c r="AW359" s="307"/>
      <c r="AX359" s="307"/>
      <c r="AY359" s="307"/>
      <c r="AZ359" s="307"/>
      <c r="BA359" s="307"/>
      <c r="BB359" s="307"/>
      <c r="BC359" s="307"/>
      <c r="BD359" s="307"/>
      <c r="BE359" s="307"/>
      <c r="BF359" s="307"/>
      <c r="BG359" s="307"/>
      <c r="BH359" s="307"/>
      <c r="BI359" s="307"/>
      <c r="BJ359" s="307"/>
      <c r="BK359" s="307"/>
      <c r="BL359" s="307"/>
      <c r="BM359" s="307"/>
      <c r="BN359" s="307"/>
      <c r="BO359" s="307"/>
      <c r="BP359" s="307"/>
      <c r="BQ359" s="307"/>
      <c r="BR359" s="307"/>
      <c r="BS359" s="307"/>
      <c r="BT359" s="307"/>
      <c r="BU359" s="307"/>
      <c r="BV359" s="307"/>
      <c r="BW359" s="307"/>
      <c r="BX359" s="307"/>
      <c r="BY359" s="307"/>
      <c r="BZ359" s="307"/>
      <c r="CA359" s="307"/>
      <c r="CB359" s="307"/>
      <c r="CC359" s="307"/>
      <c r="CD359" s="307"/>
      <c r="CE359" s="307"/>
      <c r="CF359" s="307"/>
      <c r="CG359" s="307"/>
      <c r="CH359" s="307"/>
      <c r="CI359" s="307"/>
      <c r="CJ359" s="307"/>
      <c r="CK359" s="307"/>
      <c r="CL359" s="307"/>
      <c r="CM359" s="307"/>
      <c r="CN359" s="307"/>
      <c r="CO359" s="307"/>
      <c r="CP359" s="307"/>
      <c r="CQ359" s="307"/>
      <c r="CR359" s="307"/>
      <c r="CS359" s="307"/>
      <c r="CT359" s="307"/>
      <c r="CU359" s="307"/>
      <c r="CV359" s="307"/>
      <c r="CW359" s="307"/>
      <c r="CX359" s="307"/>
      <c r="CY359" s="307"/>
      <c r="CZ359" s="307"/>
      <c r="DA359" s="307"/>
      <c r="DB359" s="280"/>
      <c r="DC359" s="280"/>
      <c r="DD359" s="280"/>
      <c r="DE359" s="280"/>
      <c r="DF359" s="280"/>
      <c r="DG359" s="280"/>
      <c r="DH359" s="280"/>
      <c r="DI359" s="280"/>
      <c r="DJ359" s="280"/>
      <c r="DK359" s="280"/>
      <c r="DL359" s="280"/>
      <c r="DM359" s="280"/>
      <c r="DN359" s="280"/>
      <c r="DO359" s="280"/>
      <c r="DP359" s="280"/>
      <c r="DQ359" s="280"/>
      <c r="DR359" s="280"/>
      <c r="DS359" s="280"/>
      <c r="DT359" s="280"/>
      <c r="DU359" s="280"/>
      <c r="DV359" s="280"/>
      <c r="DW359" s="280"/>
      <c r="DX359" s="280"/>
      <c r="DY359" s="280"/>
      <c r="DZ359" s="280"/>
      <c r="EA359" s="280"/>
      <c r="EB359" s="280"/>
      <c r="EC359" s="280"/>
      <c r="ED359" s="280"/>
      <c r="EE359" s="280"/>
      <c r="EF359" s="280"/>
      <c r="EG359" s="280"/>
      <c r="EH359" s="280"/>
      <c r="EI359" s="280"/>
      <c r="EJ359" s="280"/>
      <c r="EK359" s="280"/>
      <c r="EL359" s="280"/>
      <c r="EM359" s="280"/>
      <c r="EN359" s="280"/>
      <c r="EO359" s="280"/>
      <c r="EP359" s="521"/>
      <c r="EQ359" s="521"/>
      <c r="ER359" s="521"/>
      <c r="ES359" s="521"/>
      <c r="ET359" s="521"/>
      <c r="EU359" s="521"/>
      <c r="EV359" s="521"/>
      <c r="EW359" s="521"/>
      <c r="EX359" s="521"/>
      <c r="EY359" s="521"/>
      <c r="EZ359" s="521"/>
      <c r="FA359" s="521"/>
      <c r="FB359" s="521"/>
      <c r="FC359" s="521"/>
      <c r="FD359" s="521"/>
      <c r="FE359" s="521"/>
      <c r="FF359" s="521"/>
      <c r="FG359" s="521"/>
      <c r="FH359" s="567"/>
      <c r="FI359" s="567"/>
      <c r="FJ359" s="567"/>
      <c r="FK359" s="567"/>
      <c r="FL359" s="567"/>
      <c r="FM359" s="567"/>
      <c r="FN359" s="567"/>
      <c r="FO359" s="567"/>
    </row>
    <row r="360" spans="1:171" s="568" customFormat="1" ht="13.9" customHeight="1">
      <c r="A360" s="566"/>
      <c r="B360" s="566"/>
      <c r="C360" s="566"/>
      <c r="D360" s="569"/>
      <c r="E360" s="570"/>
      <c r="F360" s="571"/>
      <c r="G360" s="571"/>
      <c r="H360" s="571"/>
      <c r="I360" s="571"/>
      <c r="J360" s="571"/>
      <c r="K360" s="572"/>
      <c r="L360" s="569"/>
      <c r="M360" s="569"/>
      <c r="N360" s="569"/>
      <c r="O360" s="569"/>
      <c r="P360" s="566"/>
      <c r="Q360" s="566"/>
      <c r="R360" s="566"/>
      <c r="S360" s="566"/>
      <c r="T360" s="566"/>
      <c r="U360" s="566"/>
      <c r="V360" s="566"/>
      <c r="W360" s="566"/>
      <c r="X360" s="553"/>
      <c r="Y360" s="553"/>
      <c r="Z360" s="553"/>
      <c r="AA360" s="554"/>
      <c r="AB360" s="550"/>
      <c r="AC360" s="550"/>
      <c r="AD360" s="550"/>
      <c r="AE360" s="307"/>
      <c r="AF360" s="307"/>
      <c r="AG360" s="307"/>
      <c r="AH360" s="307"/>
      <c r="AI360" s="307"/>
      <c r="AJ360" s="307"/>
      <c r="AK360" s="307"/>
      <c r="AL360" s="307"/>
      <c r="AM360" s="307"/>
      <c r="AN360" s="307"/>
      <c r="AO360" s="307"/>
      <c r="AP360" s="307"/>
      <c r="AQ360" s="307"/>
      <c r="AR360" s="307"/>
      <c r="AS360" s="307"/>
      <c r="AT360" s="307"/>
      <c r="AU360" s="307"/>
      <c r="AV360" s="307"/>
      <c r="AW360" s="307"/>
      <c r="AX360" s="307"/>
      <c r="AY360" s="307"/>
      <c r="AZ360" s="307"/>
      <c r="BA360" s="307"/>
      <c r="BB360" s="307"/>
      <c r="BC360" s="307"/>
      <c r="BD360" s="307"/>
      <c r="BE360" s="307"/>
      <c r="BF360" s="307"/>
      <c r="BG360" s="307"/>
      <c r="BH360" s="307"/>
      <c r="BI360" s="307"/>
      <c r="BJ360" s="307"/>
      <c r="BK360" s="307"/>
      <c r="BL360" s="307"/>
      <c r="BM360" s="307"/>
      <c r="BN360" s="307"/>
      <c r="BO360" s="307"/>
      <c r="BP360" s="307"/>
      <c r="BQ360" s="307"/>
      <c r="BR360" s="307"/>
      <c r="BS360" s="307"/>
      <c r="BT360" s="307"/>
      <c r="BU360" s="307"/>
      <c r="BV360" s="307"/>
      <c r="BW360" s="307"/>
      <c r="BX360" s="307"/>
      <c r="BY360" s="307"/>
      <c r="BZ360" s="307"/>
      <c r="CA360" s="307"/>
      <c r="CB360" s="307"/>
      <c r="CC360" s="307"/>
      <c r="CD360" s="307"/>
      <c r="CE360" s="307"/>
      <c r="CF360" s="307"/>
      <c r="CG360" s="307"/>
      <c r="CH360" s="307"/>
      <c r="CI360" s="307"/>
      <c r="CJ360" s="307"/>
      <c r="CK360" s="307"/>
      <c r="CL360" s="307"/>
      <c r="CM360" s="307"/>
      <c r="CN360" s="307"/>
      <c r="CO360" s="307"/>
      <c r="CP360" s="307"/>
      <c r="CQ360" s="307"/>
      <c r="CR360" s="307"/>
      <c r="CS360" s="307"/>
      <c r="CT360" s="307"/>
      <c r="CU360" s="307"/>
      <c r="CV360" s="307"/>
      <c r="CW360" s="307"/>
      <c r="CX360" s="307"/>
      <c r="CY360" s="307"/>
      <c r="CZ360" s="307"/>
      <c r="DA360" s="307"/>
      <c r="DB360" s="280"/>
      <c r="DC360" s="280"/>
      <c r="DD360" s="280"/>
      <c r="DE360" s="280"/>
      <c r="DF360" s="280"/>
      <c r="DG360" s="280"/>
      <c r="DH360" s="280"/>
      <c r="DI360" s="280"/>
      <c r="DJ360" s="280"/>
      <c r="DK360" s="280"/>
      <c r="DL360" s="280"/>
      <c r="DM360" s="280"/>
      <c r="DN360" s="280"/>
      <c r="DO360" s="280"/>
      <c r="DP360" s="280"/>
      <c r="DQ360" s="280"/>
      <c r="DR360" s="280"/>
      <c r="DS360" s="280"/>
      <c r="DT360" s="280"/>
      <c r="DU360" s="280"/>
      <c r="DV360" s="280"/>
      <c r="DW360" s="280"/>
      <c r="DX360" s="280"/>
      <c r="DY360" s="280"/>
      <c r="DZ360" s="280"/>
      <c r="EA360" s="280"/>
      <c r="EB360" s="280"/>
      <c r="EC360" s="280"/>
      <c r="ED360" s="280"/>
      <c r="EE360" s="280"/>
      <c r="EF360" s="280"/>
      <c r="EG360" s="280"/>
      <c r="EH360" s="280"/>
      <c r="EI360" s="280"/>
      <c r="EJ360" s="280"/>
      <c r="EK360" s="280"/>
      <c r="EL360" s="280"/>
      <c r="EM360" s="280"/>
      <c r="EN360" s="280"/>
      <c r="EO360" s="280"/>
      <c r="EP360" s="521"/>
      <c r="EQ360" s="521"/>
      <c r="ER360" s="521"/>
      <c r="ES360" s="521"/>
      <c r="ET360" s="521"/>
      <c r="EU360" s="521"/>
      <c r="EV360" s="521"/>
      <c r="EW360" s="521"/>
      <c r="EX360" s="521"/>
      <c r="EY360" s="521"/>
      <c r="EZ360" s="521"/>
      <c r="FA360" s="521"/>
      <c r="FB360" s="521"/>
      <c r="FC360" s="521"/>
      <c r="FD360" s="521"/>
      <c r="FE360" s="521"/>
      <c r="FF360" s="521"/>
      <c r="FG360" s="521"/>
      <c r="FH360" s="567"/>
      <c r="FI360" s="567"/>
      <c r="FJ360" s="567"/>
      <c r="FK360" s="567"/>
      <c r="FL360" s="567"/>
      <c r="FM360" s="567"/>
      <c r="FN360" s="567"/>
      <c r="FO360" s="567"/>
    </row>
    <row r="361" spans="1:171" s="568" customFormat="1" ht="13.9" customHeight="1">
      <c r="A361" s="566"/>
      <c r="B361" s="566"/>
      <c r="C361" s="566"/>
      <c r="D361" s="569"/>
      <c r="E361" s="570"/>
      <c r="F361" s="571"/>
      <c r="G361" s="571"/>
      <c r="H361" s="571"/>
      <c r="I361" s="571"/>
      <c r="J361" s="571"/>
      <c r="K361" s="572"/>
      <c r="L361" s="569"/>
      <c r="M361" s="569"/>
      <c r="N361" s="569"/>
      <c r="O361" s="569"/>
      <c r="P361" s="566"/>
      <c r="Q361" s="566"/>
      <c r="R361" s="566"/>
      <c r="S361" s="566"/>
      <c r="T361" s="566"/>
      <c r="U361" s="566"/>
      <c r="V361" s="566"/>
      <c r="W361" s="566"/>
      <c r="X361" s="553"/>
      <c r="Y361" s="553"/>
      <c r="Z361" s="553"/>
      <c r="AA361" s="554"/>
      <c r="AB361" s="550"/>
      <c r="AC361" s="550"/>
      <c r="AD361" s="550"/>
      <c r="AE361" s="307"/>
      <c r="AF361" s="307"/>
      <c r="AG361" s="307"/>
      <c r="AH361" s="307"/>
      <c r="AI361" s="307"/>
      <c r="AJ361" s="307"/>
      <c r="AK361" s="307"/>
      <c r="AL361" s="307"/>
      <c r="AM361" s="307"/>
      <c r="AN361" s="307"/>
      <c r="AO361" s="307"/>
      <c r="AP361" s="307"/>
      <c r="AQ361" s="307"/>
      <c r="AR361" s="307"/>
      <c r="AS361" s="307"/>
      <c r="AT361" s="307"/>
      <c r="AU361" s="307"/>
      <c r="AV361" s="307"/>
      <c r="AW361" s="307"/>
      <c r="AX361" s="307"/>
      <c r="AY361" s="307"/>
      <c r="AZ361" s="307"/>
      <c r="BA361" s="307"/>
      <c r="BB361" s="307"/>
      <c r="BC361" s="307"/>
      <c r="BD361" s="307"/>
      <c r="BE361" s="307"/>
      <c r="BF361" s="307"/>
      <c r="BG361" s="307"/>
      <c r="BH361" s="307"/>
      <c r="BI361" s="307"/>
      <c r="BJ361" s="307"/>
      <c r="BK361" s="307"/>
      <c r="BL361" s="307"/>
      <c r="BM361" s="307"/>
      <c r="BN361" s="307"/>
      <c r="BO361" s="307"/>
      <c r="BP361" s="307"/>
      <c r="BQ361" s="307"/>
      <c r="BR361" s="307"/>
      <c r="BS361" s="307"/>
      <c r="BT361" s="307"/>
      <c r="BU361" s="307"/>
      <c r="BV361" s="307"/>
      <c r="BW361" s="307"/>
      <c r="BX361" s="307"/>
      <c r="BY361" s="307"/>
      <c r="BZ361" s="307"/>
      <c r="CA361" s="307"/>
      <c r="CB361" s="307"/>
      <c r="CC361" s="307"/>
      <c r="CD361" s="307"/>
      <c r="CE361" s="307"/>
      <c r="CF361" s="307"/>
      <c r="CG361" s="307"/>
      <c r="CH361" s="307"/>
      <c r="CI361" s="307"/>
      <c r="CJ361" s="307"/>
      <c r="CK361" s="307"/>
      <c r="CL361" s="307"/>
      <c r="CM361" s="307"/>
      <c r="CN361" s="307"/>
      <c r="CO361" s="307"/>
      <c r="CP361" s="307"/>
      <c r="CQ361" s="307"/>
      <c r="CR361" s="307"/>
      <c r="CS361" s="307"/>
      <c r="CT361" s="307"/>
      <c r="CU361" s="307"/>
      <c r="CV361" s="307"/>
      <c r="CW361" s="307"/>
      <c r="CX361" s="307"/>
      <c r="CY361" s="307"/>
      <c r="CZ361" s="307"/>
      <c r="DA361" s="307"/>
      <c r="DB361" s="280"/>
      <c r="DC361" s="280"/>
      <c r="DD361" s="280"/>
      <c r="DE361" s="280"/>
      <c r="DF361" s="280"/>
      <c r="DG361" s="280"/>
      <c r="DH361" s="280"/>
      <c r="DI361" s="280"/>
      <c r="DJ361" s="280"/>
      <c r="DK361" s="280"/>
      <c r="DL361" s="280"/>
      <c r="DM361" s="280"/>
      <c r="DN361" s="280"/>
      <c r="DO361" s="280"/>
      <c r="DP361" s="280"/>
      <c r="DQ361" s="280"/>
      <c r="DR361" s="280"/>
      <c r="DS361" s="280"/>
      <c r="DT361" s="280"/>
      <c r="DU361" s="280"/>
      <c r="DV361" s="280"/>
      <c r="DW361" s="280"/>
      <c r="DX361" s="280"/>
      <c r="DY361" s="280"/>
      <c r="DZ361" s="280"/>
      <c r="EA361" s="280"/>
      <c r="EB361" s="280"/>
      <c r="EC361" s="280"/>
      <c r="ED361" s="280"/>
      <c r="EE361" s="280"/>
      <c r="EF361" s="280"/>
      <c r="EG361" s="280"/>
      <c r="EH361" s="280"/>
      <c r="EI361" s="280"/>
      <c r="EJ361" s="280"/>
      <c r="EK361" s="280"/>
      <c r="EL361" s="280"/>
      <c r="EM361" s="280"/>
      <c r="EN361" s="280"/>
      <c r="EO361" s="280"/>
      <c r="EP361" s="521"/>
      <c r="EQ361" s="521"/>
      <c r="ER361" s="521"/>
      <c r="ES361" s="521"/>
      <c r="ET361" s="521"/>
      <c r="EU361" s="521"/>
      <c r="EV361" s="521"/>
      <c r="EW361" s="521"/>
      <c r="EX361" s="521"/>
      <c r="EY361" s="521"/>
      <c r="EZ361" s="521"/>
      <c r="FA361" s="521"/>
      <c r="FB361" s="521"/>
      <c r="FC361" s="521"/>
      <c r="FD361" s="521"/>
      <c r="FE361" s="521"/>
      <c r="FF361" s="521"/>
      <c r="FG361" s="521"/>
      <c r="FH361" s="567"/>
      <c r="FI361" s="567"/>
      <c r="FJ361" s="567"/>
      <c r="FK361" s="567"/>
      <c r="FL361" s="567"/>
      <c r="FM361" s="567"/>
      <c r="FN361" s="567"/>
      <c r="FO361" s="567"/>
    </row>
    <row r="362" spans="1:171" s="568" customFormat="1" ht="13.9" customHeight="1">
      <c r="A362" s="566"/>
      <c r="B362" s="566"/>
      <c r="C362" s="566"/>
      <c r="D362" s="569"/>
      <c r="E362" s="570"/>
      <c r="F362" s="571"/>
      <c r="G362" s="571"/>
      <c r="H362" s="571"/>
      <c r="I362" s="571"/>
      <c r="J362" s="571"/>
      <c r="K362" s="572"/>
      <c r="L362" s="569"/>
      <c r="M362" s="569"/>
      <c r="N362" s="569"/>
      <c r="O362" s="569"/>
      <c r="P362" s="566"/>
      <c r="Q362" s="566"/>
      <c r="R362" s="566"/>
      <c r="S362" s="566"/>
      <c r="T362" s="566"/>
      <c r="U362" s="566"/>
      <c r="V362" s="566"/>
      <c r="W362" s="566"/>
      <c r="X362" s="553"/>
      <c r="Y362" s="553"/>
      <c r="Z362" s="553"/>
      <c r="AA362" s="554"/>
      <c r="AB362" s="550"/>
      <c r="AC362" s="550"/>
      <c r="AD362" s="550"/>
      <c r="AE362" s="307"/>
      <c r="AF362" s="307"/>
      <c r="AG362" s="307"/>
      <c r="AH362" s="307"/>
      <c r="AI362" s="307"/>
      <c r="AJ362" s="307"/>
      <c r="AK362" s="307"/>
      <c r="AL362" s="307"/>
      <c r="AM362" s="307"/>
      <c r="AN362" s="307"/>
      <c r="AO362" s="307"/>
      <c r="AP362" s="307"/>
      <c r="AQ362" s="307"/>
      <c r="AR362" s="307"/>
      <c r="AS362" s="307"/>
      <c r="AT362" s="307"/>
      <c r="AU362" s="307"/>
      <c r="AV362" s="307"/>
      <c r="AW362" s="307"/>
      <c r="AX362" s="307"/>
      <c r="AY362" s="307"/>
      <c r="AZ362" s="307"/>
      <c r="BA362" s="307"/>
      <c r="BB362" s="307"/>
      <c r="BC362" s="307"/>
      <c r="BD362" s="307"/>
      <c r="BE362" s="307"/>
      <c r="BF362" s="307"/>
      <c r="BG362" s="307"/>
      <c r="BH362" s="307"/>
      <c r="BI362" s="307"/>
      <c r="BJ362" s="307"/>
      <c r="BK362" s="307"/>
      <c r="BL362" s="307"/>
      <c r="BM362" s="307"/>
      <c r="BN362" s="307"/>
      <c r="BO362" s="307"/>
      <c r="BP362" s="307"/>
      <c r="BQ362" s="307"/>
      <c r="BR362" s="307"/>
      <c r="BS362" s="307"/>
      <c r="BT362" s="307"/>
      <c r="BU362" s="307"/>
      <c r="BV362" s="307"/>
      <c r="BW362" s="307"/>
      <c r="BX362" s="307"/>
      <c r="BY362" s="307"/>
      <c r="BZ362" s="307"/>
      <c r="CA362" s="307"/>
      <c r="CB362" s="307"/>
      <c r="CC362" s="307"/>
      <c r="CD362" s="307"/>
      <c r="CE362" s="307"/>
      <c r="CF362" s="307"/>
      <c r="CG362" s="307"/>
      <c r="CH362" s="307"/>
      <c r="CI362" s="307"/>
      <c r="CJ362" s="307"/>
      <c r="CK362" s="307"/>
      <c r="CL362" s="307"/>
      <c r="CM362" s="307"/>
      <c r="CN362" s="307"/>
      <c r="CO362" s="307"/>
      <c r="CP362" s="307"/>
      <c r="CQ362" s="307"/>
      <c r="CR362" s="307"/>
      <c r="CS362" s="307"/>
      <c r="CT362" s="307"/>
      <c r="CU362" s="307"/>
      <c r="CV362" s="307"/>
      <c r="CW362" s="307"/>
      <c r="CX362" s="307"/>
      <c r="CY362" s="307"/>
      <c r="CZ362" s="307"/>
      <c r="DA362" s="307"/>
      <c r="DB362" s="280"/>
      <c r="DC362" s="280"/>
      <c r="DD362" s="280"/>
      <c r="DE362" s="280"/>
      <c r="DF362" s="280"/>
      <c r="DG362" s="280"/>
      <c r="DH362" s="280"/>
      <c r="DI362" s="280"/>
      <c r="DJ362" s="280"/>
      <c r="DK362" s="280"/>
      <c r="DL362" s="280"/>
      <c r="DM362" s="280"/>
      <c r="DN362" s="280"/>
      <c r="DO362" s="280"/>
      <c r="DP362" s="280"/>
      <c r="DQ362" s="280"/>
      <c r="DR362" s="280"/>
      <c r="DS362" s="280"/>
      <c r="DT362" s="280"/>
      <c r="DU362" s="280"/>
      <c r="DV362" s="280"/>
      <c r="DW362" s="280"/>
      <c r="DX362" s="280"/>
      <c r="DY362" s="280"/>
      <c r="DZ362" s="280"/>
      <c r="EA362" s="280"/>
      <c r="EB362" s="280"/>
      <c r="EC362" s="280"/>
      <c r="ED362" s="280"/>
      <c r="EE362" s="280"/>
      <c r="EF362" s="280"/>
      <c r="EG362" s="280"/>
      <c r="EH362" s="280"/>
      <c r="EI362" s="280"/>
      <c r="EJ362" s="280"/>
      <c r="EK362" s="280"/>
      <c r="EL362" s="280"/>
      <c r="EM362" s="280"/>
      <c r="EN362" s="280"/>
      <c r="EO362" s="280"/>
      <c r="EP362" s="521"/>
      <c r="EQ362" s="521"/>
      <c r="ER362" s="521"/>
      <c r="ES362" s="521"/>
      <c r="ET362" s="521"/>
      <c r="EU362" s="521"/>
      <c r="EV362" s="521"/>
      <c r="EW362" s="521"/>
      <c r="EX362" s="521"/>
      <c r="EY362" s="521"/>
      <c r="EZ362" s="521"/>
      <c r="FA362" s="521"/>
      <c r="FB362" s="521"/>
      <c r="FC362" s="521"/>
      <c r="FD362" s="521"/>
      <c r="FE362" s="521"/>
      <c r="FF362" s="521"/>
      <c r="FG362" s="521"/>
      <c r="FH362" s="567"/>
      <c r="FI362" s="567"/>
      <c r="FJ362" s="567"/>
      <c r="FK362" s="567"/>
      <c r="FL362" s="567"/>
      <c r="FM362" s="567"/>
      <c r="FN362" s="567"/>
      <c r="FO362" s="567"/>
    </row>
    <row r="363" spans="1:171" s="568" customFormat="1" ht="13.9" customHeight="1">
      <c r="A363" s="566"/>
      <c r="B363" s="566"/>
      <c r="C363" s="566"/>
      <c r="D363" s="569"/>
      <c r="E363" s="570"/>
      <c r="F363" s="571"/>
      <c r="G363" s="571"/>
      <c r="H363" s="571"/>
      <c r="I363" s="571"/>
      <c r="J363" s="571"/>
      <c r="K363" s="572"/>
      <c r="L363" s="569"/>
      <c r="M363" s="569"/>
      <c r="N363" s="569"/>
      <c r="O363" s="569"/>
      <c r="P363" s="566"/>
      <c r="Q363" s="566"/>
      <c r="R363" s="566"/>
      <c r="S363" s="566"/>
      <c r="T363" s="566"/>
      <c r="U363" s="566"/>
      <c r="V363" s="566"/>
      <c r="W363" s="566"/>
      <c r="X363" s="553"/>
      <c r="Y363" s="553"/>
      <c r="Z363" s="553"/>
      <c r="AA363" s="554"/>
      <c r="AB363" s="550"/>
      <c r="AC363" s="550"/>
      <c r="AD363" s="550"/>
      <c r="AE363" s="307"/>
      <c r="AF363" s="307"/>
      <c r="AG363" s="307"/>
      <c r="AH363" s="307"/>
      <c r="AI363" s="307"/>
      <c r="AJ363" s="307"/>
      <c r="AK363" s="307"/>
      <c r="AL363" s="307"/>
      <c r="AM363" s="307"/>
      <c r="AN363" s="307"/>
      <c r="AO363" s="307"/>
      <c r="AP363" s="307"/>
      <c r="AQ363" s="307"/>
      <c r="AR363" s="307"/>
      <c r="AS363" s="307"/>
      <c r="AT363" s="307"/>
      <c r="AU363" s="307"/>
      <c r="AV363" s="307"/>
      <c r="AW363" s="307"/>
      <c r="AX363" s="307"/>
      <c r="AY363" s="307"/>
      <c r="AZ363" s="307"/>
      <c r="BA363" s="307"/>
      <c r="BB363" s="307"/>
      <c r="BC363" s="307"/>
      <c r="BD363" s="307"/>
      <c r="BE363" s="307"/>
      <c r="BF363" s="307"/>
      <c r="BG363" s="307"/>
      <c r="BH363" s="307"/>
      <c r="BI363" s="307"/>
      <c r="BJ363" s="307"/>
      <c r="BK363" s="307"/>
      <c r="BL363" s="307"/>
      <c r="BM363" s="307"/>
      <c r="BN363" s="307"/>
      <c r="BO363" s="307"/>
      <c r="BP363" s="307"/>
      <c r="BQ363" s="307"/>
      <c r="BR363" s="307"/>
      <c r="BS363" s="307"/>
      <c r="BT363" s="307"/>
      <c r="BU363" s="307"/>
      <c r="BV363" s="307"/>
      <c r="BW363" s="307"/>
      <c r="BX363" s="307"/>
      <c r="BY363" s="307"/>
      <c r="BZ363" s="307"/>
      <c r="CA363" s="307"/>
      <c r="CB363" s="307"/>
      <c r="CC363" s="307"/>
      <c r="CD363" s="307"/>
      <c r="CE363" s="307"/>
      <c r="CF363" s="307"/>
      <c r="CG363" s="307"/>
      <c r="CH363" s="307"/>
      <c r="CI363" s="307"/>
      <c r="CJ363" s="307"/>
      <c r="CK363" s="307"/>
      <c r="CL363" s="307"/>
      <c r="CM363" s="307"/>
      <c r="CN363" s="307"/>
      <c r="CO363" s="307"/>
      <c r="CP363" s="307"/>
      <c r="CQ363" s="307"/>
      <c r="CR363" s="307"/>
      <c r="CS363" s="307"/>
      <c r="CT363" s="307"/>
      <c r="CU363" s="307"/>
      <c r="CV363" s="307"/>
      <c r="CW363" s="307"/>
      <c r="CX363" s="307"/>
      <c r="CY363" s="307"/>
      <c r="CZ363" s="307"/>
      <c r="DA363" s="307"/>
      <c r="DB363" s="280"/>
      <c r="DC363" s="280"/>
      <c r="DD363" s="280"/>
      <c r="DE363" s="280"/>
      <c r="DF363" s="280"/>
      <c r="DG363" s="280"/>
      <c r="DH363" s="280"/>
      <c r="DI363" s="280"/>
      <c r="DJ363" s="280"/>
      <c r="DK363" s="280"/>
      <c r="DL363" s="280"/>
      <c r="DM363" s="280"/>
      <c r="DN363" s="280"/>
      <c r="DO363" s="280"/>
      <c r="DP363" s="280"/>
      <c r="DQ363" s="280"/>
      <c r="DR363" s="280"/>
      <c r="DS363" s="280"/>
      <c r="DT363" s="280"/>
      <c r="DU363" s="280"/>
      <c r="DV363" s="280"/>
      <c r="DW363" s="280"/>
      <c r="DX363" s="280"/>
      <c r="DY363" s="280"/>
      <c r="DZ363" s="280"/>
      <c r="EA363" s="280"/>
      <c r="EB363" s="280"/>
      <c r="EC363" s="280"/>
      <c r="ED363" s="280"/>
      <c r="EE363" s="280"/>
      <c r="EF363" s="280"/>
      <c r="EG363" s="280"/>
      <c r="EH363" s="280"/>
      <c r="EI363" s="280"/>
      <c r="EJ363" s="280"/>
      <c r="EK363" s="280"/>
      <c r="EL363" s="280"/>
      <c r="EM363" s="280"/>
      <c r="EN363" s="280"/>
      <c r="EO363" s="280"/>
      <c r="EP363" s="521"/>
      <c r="EQ363" s="521"/>
      <c r="ER363" s="521"/>
      <c r="ES363" s="521"/>
      <c r="ET363" s="521"/>
      <c r="EU363" s="521"/>
      <c r="EV363" s="521"/>
      <c r="EW363" s="521"/>
      <c r="EX363" s="521"/>
      <c r="EY363" s="521"/>
      <c r="EZ363" s="521"/>
      <c r="FA363" s="521"/>
      <c r="FB363" s="521"/>
      <c r="FC363" s="521"/>
      <c r="FD363" s="521"/>
      <c r="FE363" s="521"/>
      <c r="FF363" s="521"/>
      <c r="FG363" s="521"/>
      <c r="FH363" s="567"/>
      <c r="FI363" s="567"/>
      <c r="FJ363" s="567"/>
      <c r="FK363" s="567"/>
      <c r="FL363" s="567"/>
      <c r="FM363" s="567"/>
      <c r="FN363" s="567"/>
      <c r="FO363" s="567"/>
    </row>
    <row r="364" spans="1:171" s="568" customFormat="1" ht="13.9" customHeight="1">
      <c r="A364" s="566"/>
      <c r="B364" s="566"/>
      <c r="C364" s="566"/>
      <c r="D364" s="569"/>
      <c r="E364" s="570"/>
      <c r="F364" s="571"/>
      <c r="G364" s="571"/>
      <c r="H364" s="571"/>
      <c r="I364" s="571"/>
      <c r="J364" s="571"/>
      <c r="K364" s="572"/>
      <c r="L364" s="569"/>
      <c r="M364" s="569"/>
      <c r="N364" s="569"/>
      <c r="O364" s="569"/>
      <c r="P364" s="566"/>
      <c r="Q364" s="566"/>
      <c r="R364" s="566"/>
      <c r="S364" s="566"/>
      <c r="T364" s="566"/>
      <c r="U364" s="566"/>
      <c r="V364" s="566"/>
      <c r="W364" s="566"/>
      <c r="X364" s="553"/>
      <c r="Y364" s="553"/>
      <c r="Z364" s="553"/>
      <c r="AA364" s="554"/>
      <c r="AB364" s="550"/>
      <c r="AC364" s="550"/>
      <c r="AD364" s="550"/>
      <c r="AE364" s="307"/>
      <c r="AF364" s="307"/>
      <c r="AG364" s="307"/>
      <c r="AH364" s="307"/>
      <c r="AI364" s="307"/>
      <c r="AJ364" s="307"/>
      <c r="AK364" s="307"/>
      <c r="AL364" s="307"/>
      <c r="AM364" s="307"/>
      <c r="AN364" s="307"/>
      <c r="AO364" s="307"/>
      <c r="AP364" s="307"/>
      <c r="AQ364" s="307"/>
      <c r="AR364" s="307"/>
      <c r="AS364" s="307"/>
      <c r="AT364" s="307"/>
      <c r="AU364" s="307"/>
      <c r="AV364" s="307"/>
      <c r="AW364" s="307"/>
      <c r="AX364" s="307"/>
      <c r="AY364" s="307"/>
      <c r="AZ364" s="307"/>
      <c r="BA364" s="307"/>
      <c r="BB364" s="307"/>
      <c r="BC364" s="307"/>
      <c r="BD364" s="307"/>
      <c r="BE364" s="307"/>
      <c r="BF364" s="307"/>
      <c r="BG364" s="307"/>
      <c r="BH364" s="307"/>
      <c r="BI364" s="307"/>
      <c r="BJ364" s="307"/>
      <c r="BK364" s="307"/>
      <c r="BL364" s="307"/>
      <c r="BM364" s="307"/>
      <c r="BN364" s="307"/>
      <c r="BO364" s="307"/>
      <c r="BP364" s="307"/>
      <c r="BQ364" s="307"/>
      <c r="BR364" s="307"/>
      <c r="BS364" s="307"/>
      <c r="BT364" s="307"/>
      <c r="BU364" s="307"/>
      <c r="BV364" s="307"/>
      <c r="BW364" s="307"/>
      <c r="BX364" s="307"/>
      <c r="BY364" s="307"/>
      <c r="BZ364" s="307"/>
      <c r="CA364" s="307"/>
      <c r="CB364" s="307"/>
      <c r="CC364" s="307"/>
      <c r="CD364" s="307"/>
      <c r="CE364" s="307"/>
      <c r="CF364" s="307"/>
      <c r="CG364" s="307"/>
      <c r="CH364" s="307"/>
      <c r="CI364" s="307"/>
      <c r="CJ364" s="307"/>
      <c r="CK364" s="307"/>
      <c r="CL364" s="307"/>
      <c r="CM364" s="307"/>
      <c r="CN364" s="307"/>
      <c r="CO364" s="307"/>
      <c r="CP364" s="307"/>
      <c r="CQ364" s="307"/>
      <c r="CR364" s="307"/>
      <c r="CS364" s="307"/>
      <c r="CT364" s="307"/>
      <c r="CU364" s="307"/>
      <c r="CV364" s="307"/>
      <c r="CW364" s="307"/>
      <c r="CX364" s="307"/>
      <c r="CY364" s="307"/>
      <c r="CZ364" s="307"/>
      <c r="DA364" s="307"/>
      <c r="DB364" s="280"/>
      <c r="DC364" s="280"/>
      <c r="DD364" s="280"/>
      <c r="DE364" s="280"/>
      <c r="DF364" s="280"/>
      <c r="DG364" s="280"/>
      <c r="DH364" s="280"/>
      <c r="DI364" s="280"/>
      <c r="DJ364" s="280"/>
      <c r="DK364" s="280"/>
      <c r="DL364" s="280"/>
      <c r="DM364" s="280"/>
      <c r="DN364" s="280"/>
      <c r="DO364" s="280"/>
      <c r="DP364" s="280"/>
      <c r="DQ364" s="280"/>
      <c r="DR364" s="280"/>
      <c r="DS364" s="280"/>
      <c r="DT364" s="280"/>
      <c r="DU364" s="280"/>
      <c r="DV364" s="280"/>
      <c r="DW364" s="280"/>
      <c r="DX364" s="280"/>
      <c r="DY364" s="280"/>
      <c r="DZ364" s="280"/>
      <c r="EA364" s="280"/>
      <c r="EB364" s="280"/>
      <c r="EC364" s="280"/>
      <c r="ED364" s="280"/>
      <c r="EE364" s="280"/>
      <c r="EF364" s="280"/>
      <c r="EG364" s="280"/>
      <c r="EH364" s="280"/>
      <c r="EI364" s="280"/>
      <c r="EJ364" s="280"/>
      <c r="EK364" s="280"/>
      <c r="EL364" s="280"/>
      <c r="EM364" s="280"/>
      <c r="EN364" s="280"/>
      <c r="EO364" s="280"/>
      <c r="EP364" s="521"/>
      <c r="EQ364" s="521"/>
      <c r="ER364" s="521"/>
      <c r="ES364" s="521"/>
      <c r="ET364" s="521"/>
      <c r="EU364" s="521"/>
      <c r="EV364" s="521"/>
      <c r="EW364" s="521"/>
      <c r="EX364" s="521"/>
      <c r="EY364" s="521"/>
      <c r="EZ364" s="521"/>
      <c r="FA364" s="521"/>
      <c r="FB364" s="521"/>
      <c r="FC364" s="521"/>
      <c r="FD364" s="521"/>
      <c r="FE364" s="521"/>
      <c r="FF364" s="521"/>
      <c r="FG364" s="521"/>
      <c r="FH364" s="567"/>
      <c r="FI364" s="567"/>
      <c r="FJ364" s="567"/>
      <c r="FK364" s="567"/>
      <c r="FL364" s="567"/>
      <c r="FM364" s="567"/>
      <c r="FN364" s="567"/>
      <c r="FO364" s="567"/>
    </row>
    <row r="365" spans="1:171" s="568" customFormat="1" ht="13.9" customHeight="1">
      <c r="A365" s="566"/>
      <c r="B365" s="566"/>
      <c r="C365" s="566"/>
      <c r="D365" s="569"/>
      <c r="E365" s="570"/>
      <c r="F365" s="571"/>
      <c r="G365" s="571"/>
      <c r="H365" s="571"/>
      <c r="I365" s="571"/>
      <c r="J365" s="571"/>
      <c r="K365" s="572"/>
      <c r="L365" s="569"/>
      <c r="M365" s="569"/>
      <c r="N365" s="569"/>
      <c r="O365" s="569"/>
      <c r="P365" s="566"/>
      <c r="Q365" s="566"/>
      <c r="R365" s="566"/>
      <c r="S365" s="566"/>
      <c r="T365" s="566"/>
      <c r="U365" s="566"/>
      <c r="V365" s="566"/>
      <c r="W365" s="566"/>
      <c r="X365" s="553"/>
      <c r="Y365" s="553"/>
      <c r="Z365" s="553"/>
      <c r="AA365" s="554"/>
      <c r="AB365" s="550"/>
      <c r="AC365" s="550"/>
      <c r="AD365" s="550"/>
      <c r="AE365" s="307"/>
      <c r="AF365" s="307"/>
      <c r="AG365" s="307"/>
      <c r="AH365" s="307"/>
      <c r="AI365" s="307"/>
      <c r="AJ365" s="307"/>
      <c r="AK365" s="307"/>
      <c r="AL365" s="307"/>
      <c r="AM365" s="307"/>
      <c r="AN365" s="307"/>
      <c r="AO365" s="307"/>
      <c r="AP365" s="307"/>
      <c r="AQ365" s="307"/>
      <c r="AR365" s="307"/>
      <c r="AS365" s="307"/>
      <c r="AT365" s="307"/>
      <c r="AU365" s="307"/>
      <c r="AV365" s="307"/>
      <c r="AW365" s="307"/>
      <c r="AX365" s="307"/>
      <c r="AY365" s="307"/>
      <c r="AZ365" s="307"/>
      <c r="BA365" s="307"/>
      <c r="BB365" s="307"/>
      <c r="BC365" s="307"/>
      <c r="BD365" s="307"/>
      <c r="BE365" s="307"/>
      <c r="BF365" s="307"/>
      <c r="BG365" s="307"/>
      <c r="BH365" s="307"/>
      <c r="BI365" s="307"/>
      <c r="BJ365" s="307"/>
      <c r="BK365" s="307"/>
      <c r="BL365" s="307"/>
      <c r="BM365" s="307"/>
      <c r="BN365" s="307"/>
      <c r="BO365" s="307"/>
      <c r="BP365" s="307"/>
      <c r="BQ365" s="307"/>
      <c r="BR365" s="307"/>
      <c r="BS365" s="307"/>
      <c r="BT365" s="307"/>
      <c r="BU365" s="307"/>
      <c r="BV365" s="307"/>
      <c r="BW365" s="307"/>
      <c r="BX365" s="307"/>
      <c r="BY365" s="307"/>
      <c r="BZ365" s="307"/>
      <c r="CA365" s="307"/>
      <c r="CB365" s="307"/>
      <c r="CC365" s="307"/>
      <c r="CD365" s="307"/>
      <c r="CE365" s="307"/>
      <c r="CF365" s="307"/>
      <c r="CG365" s="307"/>
      <c r="CH365" s="307"/>
      <c r="CI365" s="307"/>
      <c r="CJ365" s="307"/>
      <c r="CK365" s="307"/>
      <c r="CL365" s="307"/>
      <c r="CM365" s="307"/>
      <c r="CN365" s="307"/>
      <c r="CO365" s="307"/>
      <c r="CP365" s="307"/>
      <c r="CQ365" s="307"/>
      <c r="CR365" s="307"/>
      <c r="CS365" s="307"/>
      <c r="CT365" s="307"/>
      <c r="CU365" s="307"/>
      <c r="CV365" s="307"/>
      <c r="CW365" s="307"/>
      <c r="CX365" s="307"/>
      <c r="CY365" s="307"/>
      <c r="CZ365" s="307"/>
      <c r="DA365" s="307"/>
      <c r="DB365" s="280"/>
      <c r="DC365" s="280"/>
      <c r="DD365" s="280"/>
      <c r="DE365" s="280"/>
      <c r="DF365" s="280"/>
      <c r="DG365" s="280"/>
      <c r="DH365" s="280"/>
      <c r="DI365" s="280"/>
      <c r="DJ365" s="280"/>
      <c r="DK365" s="280"/>
      <c r="DL365" s="280"/>
      <c r="DM365" s="280"/>
      <c r="DN365" s="280"/>
      <c r="DO365" s="280"/>
      <c r="DP365" s="280"/>
      <c r="DQ365" s="280"/>
      <c r="DR365" s="280"/>
      <c r="DS365" s="280"/>
      <c r="DT365" s="280"/>
      <c r="DU365" s="280"/>
      <c r="DV365" s="280"/>
      <c r="DW365" s="280"/>
      <c r="DX365" s="280"/>
      <c r="DY365" s="280"/>
      <c r="DZ365" s="280"/>
      <c r="EA365" s="280"/>
      <c r="EB365" s="280"/>
      <c r="EC365" s="280"/>
      <c r="ED365" s="280"/>
      <c r="EE365" s="280"/>
      <c r="EF365" s="280"/>
      <c r="EG365" s="280"/>
      <c r="EH365" s="280"/>
      <c r="EI365" s="280"/>
      <c r="EJ365" s="280"/>
      <c r="EK365" s="280"/>
      <c r="EL365" s="280"/>
      <c r="EM365" s="280"/>
      <c r="EN365" s="280"/>
      <c r="EO365" s="280"/>
      <c r="EP365" s="521"/>
      <c r="EQ365" s="521"/>
      <c r="ER365" s="521"/>
      <c r="ES365" s="521"/>
      <c r="ET365" s="521"/>
      <c r="EU365" s="521"/>
      <c r="EV365" s="521"/>
      <c r="EW365" s="521"/>
      <c r="EX365" s="521"/>
      <c r="EY365" s="521"/>
      <c r="EZ365" s="521"/>
      <c r="FA365" s="521"/>
      <c r="FB365" s="521"/>
      <c r="FC365" s="521"/>
      <c r="FD365" s="521"/>
      <c r="FE365" s="521"/>
      <c r="FF365" s="521"/>
      <c r="FG365" s="521"/>
      <c r="FH365" s="567"/>
      <c r="FI365" s="567"/>
      <c r="FJ365" s="567"/>
      <c r="FK365" s="567"/>
      <c r="FL365" s="567"/>
      <c r="FM365" s="567"/>
      <c r="FN365" s="567"/>
      <c r="FO365" s="567"/>
    </row>
    <row r="366" spans="1:171" s="568" customFormat="1" ht="13.9" customHeight="1">
      <c r="A366" s="566"/>
      <c r="B366" s="566"/>
      <c r="C366" s="566"/>
      <c r="D366" s="569"/>
      <c r="E366" s="570"/>
      <c r="F366" s="571"/>
      <c r="G366" s="571"/>
      <c r="H366" s="571"/>
      <c r="I366" s="571"/>
      <c r="J366" s="571"/>
      <c r="K366" s="572"/>
      <c r="L366" s="569"/>
      <c r="M366" s="569"/>
      <c r="N366" s="569"/>
      <c r="O366" s="569"/>
      <c r="P366" s="566"/>
      <c r="Q366" s="566"/>
      <c r="R366" s="566"/>
      <c r="S366" s="566"/>
      <c r="T366" s="566"/>
      <c r="U366" s="566"/>
      <c r="V366" s="566"/>
      <c r="W366" s="566"/>
      <c r="X366" s="553"/>
      <c r="Y366" s="553"/>
      <c r="Z366" s="553"/>
      <c r="AA366" s="554"/>
      <c r="AB366" s="550"/>
      <c r="AC366" s="550"/>
      <c r="AD366" s="550"/>
      <c r="AE366" s="307"/>
      <c r="AF366" s="307"/>
      <c r="AG366" s="307"/>
      <c r="AH366" s="307"/>
      <c r="AI366" s="307"/>
      <c r="AJ366" s="307"/>
      <c r="AK366" s="307"/>
      <c r="AL366" s="307"/>
      <c r="AM366" s="307"/>
      <c r="AN366" s="307"/>
      <c r="AO366" s="307"/>
      <c r="AP366" s="307"/>
      <c r="AQ366" s="307"/>
      <c r="AR366" s="307"/>
      <c r="AS366" s="307"/>
      <c r="AT366" s="307"/>
      <c r="AU366" s="307"/>
      <c r="AV366" s="307"/>
      <c r="AW366" s="307"/>
      <c r="AX366" s="307"/>
      <c r="AY366" s="307"/>
      <c r="AZ366" s="307"/>
      <c r="BA366" s="307"/>
      <c r="BB366" s="307"/>
      <c r="BC366" s="307"/>
      <c r="BD366" s="307"/>
      <c r="BE366" s="307"/>
      <c r="BF366" s="307"/>
      <c r="BG366" s="307"/>
      <c r="BH366" s="307"/>
      <c r="BI366" s="307"/>
      <c r="BJ366" s="307"/>
      <c r="BK366" s="307"/>
      <c r="BL366" s="307"/>
      <c r="BM366" s="307"/>
      <c r="BN366" s="307"/>
      <c r="BO366" s="307"/>
      <c r="BP366" s="307"/>
      <c r="BQ366" s="307"/>
      <c r="BR366" s="307"/>
      <c r="BS366" s="307"/>
      <c r="BT366" s="307"/>
      <c r="BU366" s="307"/>
      <c r="BV366" s="307"/>
      <c r="BW366" s="307"/>
      <c r="BX366" s="307"/>
      <c r="BY366" s="307"/>
      <c r="BZ366" s="307"/>
      <c r="CA366" s="307"/>
      <c r="CB366" s="307"/>
      <c r="CC366" s="307"/>
      <c r="CD366" s="307"/>
      <c r="CE366" s="307"/>
      <c r="CF366" s="307"/>
      <c r="CG366" s="307"/>
      <c r="CH366" s="307"/>
      <c r="CI366" s="307"/>
      <c r="CJ366" s="307"/>
      <c r="CK366" s="307"/>
      <c r="CL366" s="307"/>
      <c r="CM366" s="307"/>
      <c r="CN366" s="307"/>
      <c r="CO366" s="307"/>
      <c r="CP366" s="307"/>
      <c r="CQ366" s="307"/>
      <c r="CR366" s="307"/>
      <c r="CS366" s="307"/>
      <c r="CT366" s="307"/>
      <c r="CU366" s="307"/>
      <c r="CV366" s="307"/>
      <c r="CW366" s="307"/>
      <c r="CX366" s="307"/>
      <c r="CY366" s="307"/>
      <c r="CZ366" s="307"/>
      <c r="DA366" s="307"/>
      <c r="DB366" s="280"/>
      <c r="DC366" s="280"/>
      <c r="DD366" s="280"/>
      <c r="DE366" s="280"/>
      <c r="DF366" s="280"/>
      <c r="DG366" s="280"/>
      <c r="DH366" s="280"/>
      <c r="DI366" s="280"/>
      <c r="DJ366" s="280"/>
      <c r="DK366" s="280"/>
      <c r="DL366" s="280"/>
      <c r="DM366" s="280"/>
      <c r="DN366" s="280"/>
      <c r="DO366" s="280"/>
      <c r="DP366" s="280"/>
      <c r="DQ366" s="280"/>
      <c r="DR366" s="280"/>
      <c r="DS366" s="280"/>
      <c r="DT366" s="280"/>
      <c r="DU366" s="280"/>
      <c r="DV366" s="280"/>
      <c r="DW366" s="280"/>
      <c r="DX366" s="280"/>
      <c r="DY366" s="280"/>
      <c r="DZ366" s="280"/>
      <c r="EA366" s="280"/>
      <c r="EB366" s="280"/>
      <c r="EC366" s="280"/>
      <c r="ED366" s="280"/>
      <c r="EE366" s="280"/>
      <c r="EF366" s="280"/>
      <c r="EG366" s="280"/>
      <c r="EH366" s="280"/>
      <c r="EI366" s="280"/>
      <c r="EJ366" s="280"/>
      <c r="EK366" s="280"/>
      <c r="EL366" s="280"/>
      <c r="EM366" s="280"/>
      <c r="EN366" s="280"/>
      <c r="EO366" s="280"/>
      <c r="EP366" s="521"/>
      <c r="EQ366" s="521"/>
      <c r="ER366" s="521"/>
      <c r="ES366" s="521"/>
      <c r="ET366" s="521"/>
      <c r="EU366" s="521"/>
      <c r="EV366" s="521"/>
      <c r="EW366" s="521"/>
      <c r="EX366" s="521"/>
      <c r="EY366" s="521"/>
      <c r="EZ366" s="521"/>
      <c r="FA366" s="521"/>
      <c r="FB366" s="521"/>
      <c r="FC366" s="521"/>
      <c r="FD366" s="521"/>
      <c r="FE366" s="521"/>
      <c r="FF366" s="521"/>
      <c r="FG366" s="521"/>
      <c r="FH366" s="567"/>
      <c r="FI366" s="567"/>
      <c r="FJ366" s="567"/>
      <c r="FK366" s="567"/>
      <c r="FL366" s="567"/>
      <c r="FM366" s="567"/>
      <c r="FN366" s="567"/>
      <c r="FO366" s="567"/>
    </row>
    <row r="367" spans="1:171" s="568" customFormat="1" ht="13.9" customHeight="1">
      <c r="A367" s="566"/>
      <c r="B367" s="566"/>
      <c r="C367" s="566"/>
      <c r="D367" s="569"/>
      <c r="E367" s="570"/>
      <c r="F367" s="571"/>
      <c r="G367" s="571"/>
      <c r="H367" s="571"/>
      <c r="I367" s="571"/>
      <c r="J367" s="571"/>
      <c r="K367" s="572"/>
      <c r="L367" s="569"/>
      <c r="M367" s="569"/>
      <c r="N367" s="569"/>
      <c r="O367" s="569"/>
      <c r="P367" s="566"/>
      <c r="Q367" s="566"/>
      <c r="R367" s="566"/>
      <c r="S367" s="566"/>
      <c r="T367" s="566"/>
      <c r="U367" s="566"/>
      <c r="V367" s="566"/>
      <c r="W367" s="566"/>
      <c r="X367" s="553"/>
      <c r="Y367" s="553"/>
      <c r="Z367" s="553"/>
      <c r="AA367" s="554"/>
      <c r="AB367" s="550"/>
      <c r="AC367" s="550"/>
      <c r="AD367" s="550"/>
      <c r="AE367" s="307"/>
      <c r="AF367" s="307"/>
      <c r="AG367" s="307"/>
      <c r="AH367" s="307"/>
      <c r="AI367" s="307"/>
      <c r="AJ367" s="307"/>
      <c r="AK367" s="307"/>
      <c r="AL367" s="307"/>
      <c r="AM367" s="307"/>
      <c r="AN367" s="307"/>
      <c r="AO367" s="307"/>
      <c r="AP367" s="307"/>
      <c r="AQ367" s="307"/>
      <c r="AR367" s="307"/>
      <c r="AS367" s="307"/>
      <c r="AT367" s="307"/>
      <c r="AU367" s="307"/>
      <c r="AV367" s="307"/>
      <c r="AW367" s="307"/>
      <c r="AX367" s="307"/>
      <c r="AY367" s="307"/>
      <c r="AZ367" s="307"/>
      <c r="BA367" s="307"/>
      <c r="BB367" s="307"/>
      <c r="BC367" s="307"/>
      <c r="BD367" s="307"/>
      <c r="BE367" s="307"/>
      <c r="BF367" s="307"/>
      <c r="BG367" s="307"/>
      <c r="BH367" s="307"/>
      <c r="BI367" s="307"/>
      <c r="BJ367" s="307"/>
      <c r="BK367" s="307"/>
      <c r="BL367" s="307"/>
      <c r="BM367" s="307"/>
      <c r="BN367" s="307"/>
      <c r="BO367" s="307"/>
      <c r="BP367" s="307"/>
      <c r="BQ367" s="307"/>
      <c r="BR367" s="307"/>
      <c r="BS367" s="307"/>
      <c r="BT367" s="307"/>
      <c r="BU367" s="307"/>
      <c r="BV367" s="307"/>
      <c r="BW367" s="307"/>
      <c r="BX367" s="307"/>
      <c r="BY367" s="307"/>
      <c r="BZ367" s="307"/>
      <c r="CA367" s="307"/>
      <c r="CB367" s="307"/>
      <c r="CC367" s="307"/>
      <c r="CD367" s="307"/>
      <c r="CE367" s="307"/>
      <c r="CF367" s="307"/>
      <c r="CG367" s="307"/>
      <c r="CH367" s="307"/>
      <c r="CI367" s="307"/>
      <c r="CJ367" s="307"/>
      <c r="CK367" s="307"/>
      <c r="CL367" s="307"/>
      <c r="CM367" s="307"/>
      <c r="CN367" s="307"/>
      <c r="CO367" s="307"/>
      <c r="CP367" s="307"/>
      <c r="CQ367" s="307"/>
      <c r="CR367" s="307"/>
      <c r="CS367" s="307"/>
      <c r="CT367" s="307"/>
      <c r="CU367" s="307"/>
      <c r="CV367" s="307"/>
      <c r="CW367" s="307"/>
      <c r="CX367" s="307"/>
      <c r="CY367" s="307"/>
      <c r="CZ367" s="307"/>
      <c r="DA367" s="307"/>
      <c r="DB367" s="280"/>
      <c r="DC367" s="280"/>
      <c r="DD367" s="280"/>
      <c r="DE367" s="280"/>
      <c r="DF367" s="280"/>
      <c r="DG367" s="280"/>
      <c r="DH367" s="280"/>
      <c r="DI367" s="280"/>
      <c r="DJ367" s="280"/>
      <c r="DK367" s="280"/>
      <c r="DL367" s="280"/>
      <c r="DM367" s="280"/>
      <c r="DN367" s="280"/>
      <c r="DO367" s="280"/>
      <c r="DP367" s="280"/>
      <c r="DQ367" s="280"/>
      <c r="DR367" s="280"/>
      <c r="DS367" s="280"/>
      <c r="DT367" s="280"/>
      <c r="DU367" s="280"/>
      <c r="DV367" s="280"/>
      <c r="DW367" s="280"/>
      <c r="DX367" s="280"/>
      <c r="DY367" s="280"/>
      <c r="DZ367" s="280"/>
      <c r="EA367" s="280"/>
      <c r="EB367" s="280"/>
      <c r="EC367" s="280"/>
      <c r="ED367" s="280"/>
      <c r="EE367" s="280"/>
      <c r="EF367" s="280"/>
      <c r="EG367" s="280"/>
      <c r="EH367" s="280"/>
      <c r="EI367" s="280"/>
      <c r="EJ367" s="280"/>
      <c r="EK367" s="280"/>
      <c r="EL367" s="280"/>
      <c r="EM367" s="280"/>
      <c r="EN367" s="280"/>
      <c r="EO367" s="280"/>
      <c r="EP367" s="521"/>
      <c r="EQ367" s="521"/>
      <c r="ER367" s="521"/>
      <c r="ES367" s="521"/>
      <c r="ET367" s="521"/>
      <c r="EU367" s="521"/>
      <c r="EV367" s="521"/>
      <c r="EW367" s="521"/>
      <c r="EX367" s="521"/>
      <c r="EY367" s="521"/>
      <c r="EZ367" s="521"/>
      <c r="FA367" s="521"/>
      <c r="FB367" s="521"/>
      <c r="FC367" s="521"/>
      <c r="FD367" s="521"/>
      <c r="FE367" s="521"/>
      <c r="FF367" s="521"/>
      <c r="FG367" s="521"/>
      <c r="FH367" s="567"/>
      <c r="FI367" s="567"/>
      <c r="FJ367" s="567"/>
      <c r="FK367" s="567"/>
      <c r="FL367" s="567"/>
      <c r="FM367" s="567"/>
      <c r="FN367" s="567"/>
      <c r="FO367" s="567"/>
    </row>
    <row r="368" spans="1:171" s="568" customFormat="1" ht="13.9" customHeight="1">
      <c r="A368" s="566"/>
      <c r="B368" s="566"/>
      <c r="C368" s="566"/>
      <c r="D368" s="569"/>
      <c r="E368" s="570"/>
      <c r="F368" s="571"/>
      <c r="G368" s="571"/>
      <c r="H368" s="571"/>
      <c r="I368" s="571"/>
      <c r="J368" s="571"/>
      <c r="K368" s="572"/>
      <c r="L368" s="569"/>
      <c r="M368" s="569"/>
      <c r="N368" s="569"/>
      <c r="O368" s="569"/>
      <c r="P368" s="566"/>
      <c r="Q368" s="566"/>
      <c r="R368" s="566"/>
      <c r="S368" s="566"/>
      <c r="T368" s="566"/>
      <c r="U368" s="566"/>
      <c r="V368" s="566"/>
      <c r="W368" s="566"/>
      <c r="X368" s="553"/>
      <c r="Y368" s="553"/>
      <c r="Z368" s="553"/>
      <c r="AA368" s="554"/>
      <c r="AB368" s="550"/>
      <c r="AC368" s="550"/>
      <c r="AD368" s="550"/>
      <c r="AE368" s="307"/>
      <c r="AF368" s="307"/>
      <c r="AG368" s="307"/>
      <c r="AH368" s="307"/>
      <c r="AI368" s="307"/>
      <c r="AJ368" s="307"/>
      <c r="AK368" s="307"/>
      <c r="AL368" s="307"/>
      <c r="AM368" s="307"/>
      <c r="AN368" s="307"/>
      <c r="AO368" s="307"/>
      <c r="AP368" s="307"/>
      <c r="AQ368" s="307"/>
      <c r="AR368" s="307"/>
      <c r="AS368" s="307"/>
      <c r="AT368" s="307"/>
      <c r="AU368" s="307"/>
      <c r="AV368" s="307"/>
      <c r="AW368" s="307"/>
      <c r="AX368" s="307"/>
      <c r="AY368" s="307"/>
      <c r="AZ368" s="307"/>
      <c r="BA368" s="307"/>
      <c r="BB368" s="307"/>
      <c r="BC368" s="307"/>
      <c r="BD368" s="307"/>
      <c r="BE368" s="307"/>
      <c r="BF368" s="307"/>
      <c r="BG368" s="307"/>
      <c r="BH368" s="307"/>
      <c r="BI368" s="307"/>
      <c r="BJ368" s="307"/>
      <c r="BK368" s="307"/>
      <c r="BL368" s="307"/>
      <c r="BM368" s="307"/>
      <c r="BN368" s="307"/>
      <c r="BO368" s="307"/>
      <c r="BP368" s="307"/>
      <c r="BQ368" s="307"/>
      <c r="BR368" s="307"/>
      <c r="BS368" s="307"/>
      <c r="BT368" s="307"/>
      <c r="BU368" s="307"/>
      <c r="BV368" s="307"/>
      <c r="BW368" s="307"/>
      <c r="BX368" s="307"/>
      <c r="BY368" s="307"/>
      <c r="BZ368" s="307"/>
      <c r="CA368" s="307"/>
      <c r="CB368" s="307"/>
      <c r="CC368" s="307"/>
      <c r="CD368" s="307"/>
      <c r="CE368" s="307"/>
      <c r="CF368" s="307"/>
      <c r="CG368" s="307"/>
      <c r="CH368" s="307"/>
      <c r="CI368" s="307"/>
      <c r="CJ368" s="307"/>
      <c r="CK368" s="307"/>
      <c r="CL368" s="307"/>
      <c r="CM368" s="307"/>
      <c r="CN368" s="307"/>
      <c r="CO368" s="307"/>
      <c r="CP368" s="307"/>
      <c r="CQ368" s="307"/>
      <c r="CR368" s="307"/>
      <c r="CS368" s="307"/>
      <c r="CT368" s="307"/>
      <c r="CU368" s="307"/>
      <c r="CV368" s="307"/>
      <c r="CW368" s="307"/>
      <c r="CX368" s="307"/>
      <c r="CY368" s="307"/>
      <c r="CZ368" s="307"/>
      <c r="DA368" s="307"/>
      <c r="DB368" s="280"/>
      <c r="DC368" s="280"/>
      <c r="DD368" s="280"/>
      <c r="DE368" s="280"/>
      <c r="DF368" s="280"/>
      <c r="DG368" s="280"/>
      <c r="DH368" s="280"/>
      <c r="DI368" s="280"/>
      <c r="DJ368" s="280"/>
      <c r="DK368" s="280"/>
      <c r="DL368" s="280"/>
      <c r="DM368" s="280"/>
      <c r="DN368" s="280"/>
      <c r="DO368" s="280"/>
      <c r="DP368" s="280"/>
      <c r="DQ368" s="280"/>
      <c r="DR368" s="280"/>
      <c r="DS368" s="280"/>
      <c r="DT368" s="280"/>
      <c r="DU368" s="280"/>
      <c r="DV368" s="280"/>
      <c r="DW368" s="280"/>
      <c r="DX368" s="280"/>
      <c r="DY368" s="280"/>
      <c r="DZ368" s="280"/>
      <c r="EA368" s="280"/>
      <c r="EB368" s="280"/>
      <c r="EC368" s="280"/>
      <c r="ED368" s="280"/>
      <c r="EE368" s="280"/>
      <c r="EF368" s="280"/>
      <c r="EG368" s="280"/>
      <c r="EH368" s="280"/>
      <c r="EI368" s="280"/>
      <c r="EJ368" s="280"/>
      <c r="EK368" s="280"/>
      <c r="EL368" s="280"/>
      <c r="EM368" s="280"/>
      <c r="EN368" s="280"/>
      <c r="EO368" s="280"/>
      <c r="EP368" s="521"/>
      <c r="EQ368" s="521"/>
      <c r="ER368" s="521"/>
      <c r="ES368" s="521"/>
      <c r="ET368" s="521"/>
      <c r="EU368" s="521"/>
      <c r="EV368" s="521"/>
      <c r="EW368" s="521"/>
      <c r="EX368" s="521"/>
      <c r="EY368" s="521"/>
      <c r="EZ368" s="521"/>
      <c r="FA368" s="521"/>
      <c r="FB368" s="521"/>
      <c r="FC368" s="521"/>
      <c r="FD368" s="521"/>
      <c r="FE368" s="521"/>
      <c r="FF368" s="521"/>
      <c r="FG368" s="521"/>
      <c r="FH368" s="567"/>
      <c r="FI368" s="567"/>
      <c r="FJ368" s="567"/>
      <c r="FK368" s="567"/>
      <c r="FL368" s="567"/>
      <c r="FM368" s="567"/>
      <c r="FN368" s="567"/>
      <c r="FO368" s="567"/>
    </row>
    <row r="369" spans="1:171" s="568" customFormat="1" ht="13.9" customHeight="1">
      <c r="A369" s="566"/>
      <c r="B369" s="566"/>
      <c r="C369" s="566"/>
      <c r="D369" s="569"/>
      <c r="E369" s="570"/>
      <c r="F369" s="571"/>
      <c r="G369" s="571"/>
      <c r="H369" s="571"/>
      <c r="I369" s="571"/>
      <c r="J369" s="571"/>
      <c r="K369" s="572"/>
      <c r="L369" s="569"/>
      <c r="M369" s="569"/>
      <c r="N369" s="569"/>
      <c r="O369" s="569"/>
      <c r="P369" s="566"/>
      <c r="Q369" s="566"/>
      <c r="R369" s="566"/>
      <c r="S369" s="566"/>
      <c r="T369" s="566"/>
      <c r="U369" s="566"/>
      <c r="V369" s="566"/>
      <c r="W369" s="566"/>
      <c r="X369" s="553"/>
      <c r="Y369" s="553"/>
      <c r="Z369" s="553"/>
      <c r="AA369" s="554"/>
      <c r="AB369" s="550"/>
      <c r="AC369" s="550"/>
      <c r="AD369" s="550"/>
      <c r="AE369" s="307"/>
      <c r="AF369" s="307"/>
      <c r="AG369" s="307"/>
      <c r="AH369" s="307"/>
      <c r="AI369" s="307"/>
      <c r="AJ369" s="307"/>
      <c r="AK369" s="307"/>
      <c r="AL369" s="307"/>
      <c r="AM369" s="307"/>
      <c r="AN369" s="307"/>
      <c r="AO369" s="307"/>
      <c r="AP369" s="307"/>
      <c r="AQ369" s="307"/>
      <c r="AR369" s="307"/>
      <c r="AS369" s="307"/>
      <c r="AT369" s="307"/>
      <c r="AU369" s="307"/>
      <c r="AV369" s="307"/>
      <c r="AW369" s="307"/>
      <c r="AX369" s="307"/>
      <c r="AY369" s="307"/>
      <c r="AZ369" s="307"/>
      <c r="BA369" s="307"/>
      <c r="BB369" s="307"/>
      <c r="BC369" s="307"/>
      <c r="BD369" s="307"/>
      <c r="BE369" s="307"/>
      <c r="BF369" s="307"/>
      <c r="BG369" s="307"/>
      <c r="BH369" s="307"/>
      <c r="BI369" s="307"/>
      <c r="BJ369" s="307"/>
      <c r="BK369" s="307"/>
      <c r="BL369" s="307"/>
      <c r="BM369" s="307"/>
      <c r="BN369" s="307"/>
      <c r="BO369" s="307"/>
      <c r="BP369" s="307"/>
      <c r="BQ369" s="307"/>
      <c r="BR369" s="307"/>
      <c r="BS369" s="307"/>
      <c r="BT369" s="307"/>
      <c r="BU369" s="307"/>
      <c r="BV369" s="307"/>
      <c r="BW369" s="307"/>
      <c r="BX369" s="307"/>
      <c r="BY369" s="307"/>
      <c r="BZ369" s="307"/>
      <c r="CA369" s="307"/>
      <c r="CB369" s="307"/>
      <c r="CC369" s="307"/>
      <c r="CD369" s="307"/>
      <c r="CE369" s="307"/>
      <c r="CF369" s="307"/>
      <c r="CG369" s="307"/>
      <c r="CH369" s="307"/>
      <c r="CI369" s="307"/>
      <c r="CJ369" s="307"/>
      <c r="CK369" s="307"/>
      <c r="CL369" s="307"/>
      <c r="CM369" s="307"/>
      <c r="CN369" s="307"/>
      <c r="CO369" s="307"/>
      <c r="CP369" s="307"/>
      <c r="CQ369" s="307"/>
      <c r="CR369" s="307"/>
      <c r="CS369" s="307"/>
      <c r="CT369" s="307"/>
      <c r="CU369" s="307"/>
      <c r="CV369" s="307"/>
      <c r="CW369" s="307"/>
      <c r="CX369" s="307"/>
      <c r="CY369" s="307"/>
      <c r="CZ369" s="307"/>
      <c r="DA369" s="307"/>
      <c r="DB369" s="280"/>
      <c r="DC369" s="280"/>
      <c r="DD369" s="280"/>
      <c r="DE369" s="280"/>
      <c r="DF369" s="280"/>
      <c r="DG369" s="280"/>
      <c r="DH369" s="280"/>
      <c r="DI369" s="280"/>
      <c r="DJ369" s="280"/>
      <c r="DK369" s="280"/>
      <c r="DL369" s="280"/>
      <c r="DM369" s="280"/>
      <c r="DN369" s="280"/>
      <c r="DO369" s="280"/>
      <c r="DP369" s="280"/>
      <c r="DQ369" s="280"/>
      <c r="DR369" s="280"/>
      <c r="DS369" s="280"/>
      <c r="DT369" s="280"/>
      <c r="DU369" s="280"/>
      <c r="DV369" s="280"/>
      <c r="DW369" s="280"/>
      <c r="DX369" s="280"/>
      <c r="DY369" s="280"/>
      <c r="DZ369" s="280"/>
      <c r="EA369" s="280"/>
      <c r="EB369" s="280"/>
      <c r="EC369" s="280"/>
      <c r="ED369" s="280"/>
      <c r="EE369" s="280"/>
      <c r="EF369" s="280"/>
      <c r="EG369" s="280"/>
      <c r="EH369" s="280"/>
      <c r="EI369" s="280"/>
      <c r="EJ369" s="280"/>
      <c r="EK369" s="280"/>
      <c r="EL369" s="280"/>
      <c r="EM369" s="280"/>
      <c r="EN369" s="280"/>
      <c r="EO369" s="280"/>
      <c r="EP369" s="521"/>
      <c r="EQ369" s="521"/>
      <c r="ER369" s="521"/>
      <c r="ES369" s="521"/>
      <c r="ET369" s="521"/>
      <c r="EU369" s="521"/>
      <c r="EV369" s="521"/>
      <c r="EW369" s="521"/>
      <c r="EX369" s="521"/>
      <c r="EY369" s="521"/>
      <c r="EZ369" s="521"/>
      <c r="FA369" s="521"/>
      <c r="FB369" s="521"/>
      <c r="FC369" s="521"/>
      <c r="FD369" s="521"/>
      <c r="FE369" s="521"/>
      <c r="FF369" s="521"/>
      <c r="FG369" s="521"/>
      <c r="FH369" s="567"/>
      <c r="FI369" s="567"/>
      <c r="FJ369" s="567"/>
      <c r="FK369" s="567"/>
      <c r="FL369" s="567"/>
      <c r="FM369" s="567"/>
      <c r="FN369" s="567"/>
      <c r="FO369" s="567"/>
    </row>
    <row r="370" spans="1:171" s="568" customFormat="1" ht="13.9" customHeight="1">
      <c r="A370" s="566"/>
      <c r="B370" s="566"/>
      <c r="C370" s="566"/>
      <c r="D370" s="569"/>
      <c r="E370" s="570"/>
      <c r="F370" s="571"/>
      <c r="G370" s="571"/>
      <c r="H370" s="571"/>
      <c r="I370" s="571"/>
      <c r="J370" s="571"/>
      <c r="K370" s="572"/>
      <c r="L370" s="569"/>
      <c r="M370" s="569"/>
      <c r="N370" s="569"/>
      <c r="O370" s="569"/>
      <c r="P370" s="566"/>
      <c r="Q370" s="566"/>
      <c r="R370" s="566"/>
      <c r="S370" s="566"/>
      <c r="T370" s="566"/>
      <c r="U370" s="566"/>
      <c r="V370" s="566"/>
      <c r="W370" s="566"/>
      <c r="X370" s="553"/>
      <c r="Y370" s="553"/>
      <c r="Z370" s="553"/>
      <c r="AA370" s="554"/>
      <c r="AB370" s="550"/>
      <c r="AC370" s="550"/>
      <c r="AD370" s="550"/>
      <c r="AE370" s="307"/>
      <c r="AF370" s="307"/>
      <c r="AG370" s="307"/>
      <c r="AH370" s="307"/>
      <c r="AI370" s="307"/>
      <c r="AJ370" s="307"/>
      <c r="AK370" s="307"/>
      <c r="AL370" s="307"/>
      <c r="AM370" s="307"/>
      <c r="AN370" s="307"/>
      <c r="AO370" s="307"/>
      <c r="AP370" s="307"/>
      <c r="AQ370" s="307"/>
      <c r="AR370" s="307"/>
      <c r="AS370" s="307"/>
      <c r="AT370" s="307"/>
      <c r="AU370" s="307"/>
      <c r="AV370" s="307"/>
      <c r="AW370" s="307"/>
      <c r="AX370" s="307"/>
      <c r="AY370" s="307"/>
      <c r="AZ370" s="307"/>
      <c r="BA370" s="307"/>
      <c r="BB370" s="307"/>
      <c r="BC370" s="307"/>
      <c r="BD370" s="307"/>
      <c r="BE370" s="307"/>
      <c r="BF370" s="307"/>
      <c r="BG370" s="307"/>
      <c r="BH370" s="307"/>
      <c r="BI370" s="307"/>
      <c r="BJ370" s="307"/>
      <c r="BK370" s="307"/>
      <c r="BL370" s="307"/>
      <c r="BM370" s="307"/>
      <c r="BN370" s="307"/>
      <c r="BO370" s="307"/>
      <c r="BP370" s="307"/>
      <c r="BQ370" s="307"/>
      <c r="BR370" s="307"/>
      <c r="BS370" s="307"/>
      <c r="BT370" s="307"/>
      <c r="BU370" s="307"/>
      <c r="BV370" s="307"/>
      <c r="BW370" s="307"/>
      <c r="BX370" s="307"/>
      <c r="BY370" s="307"/>
      <c r="BZ370" s="307"/>
      <c r="CA370" s="307"/>
      <c r="CB370" s="307"/>
      <c r="CC370" s="307"/>
      <c r="CD370" s="307"/>
      <c r="CE370" s="307"/>
      <c r="CF370" s="307"/>
      <c r="CG370" s="307"/>
      <c r="CH370" s="307"/>
      <c r="CI370" s="307"/>
      <c r="CJ370" s="307"/>
      <c r="CK370" s="307"/>
      <c r="CL370" s="307"/>
      <c r="CM370" s="307"/>
      <c r="CN370" s="307"/>
      <c r="CO370" s="307"/>
      <c r="CP370" s="307"/>
      <c r="CQ370" s="307"/>
      <c r="CR370" s="307"/>
      <c r="CS370" s="307"/>
      <c r="CT370" s="307"/>
      <c r="CU370" s="307"/>
      <c r="CV370" s="307"/>
      <c r="CW370" s="307"/>
      <c r="CX370" s="307"/>
      <c r="CY370" s="307"/>
      <c r="CZ370" s="307"/>
      <c r="DA370" s="307"/>
      <c r="DB370" s="280"/>
      <c r="DC370" s="280"/>
      <c r="DD370" s="280"/>
      <c r="DE370" s="280"/>
      <c r="DF370" s="280"/>
      <c r="DG370" s="280"/>
      <c r="DH370" s="280"/>
      <c r="DI370" s="280"/>
      <c r="DJ370" s="280"/>
      <c r="DK370" s="280"/>
      <c r="DL370" s="280"/>
      <c r="DM370" s="280"/>
      <c r="DN370" s="280"/>
      <c r="DO370" s="280"/>
      <c r="DP370" s="280"/>
      <c r="DQ370" s="280"/>
      <c r="DR370" s="280"/>
      <c r="DS370" s="280"/>
      <c r="DT370" s="280"/>
      <c r="DU370" s="280"/>
      <c r="DV370" s="280"/>
      <c r="DW370" s="280"/>
      <c r="DX370" s="280"/>
      <c r="DY370" s="280"/>
      <c r="DZ370" s="280"/>
      <c r="EA370" s="280"/>
      <c r="EB370" s="280"/>
      <c r="EC370" s="280"/>
      <c r="ED370" s="280"/>
      <c r="EE370" s="280"/>
      <c r="EF370" s="280"/>
      <c r="EG370" s="280"/>
      <c r="EH370" s="280"/>
      <c r="EI370" s="280"/>
      <c r="EJ370" s="280"/>
      <c r="EK370" s="280"/>
      <c r="EL370" s="280"/>
      <c r="EM370" s="280"/>
      <c r="EN370" s="280"/>
      <c r="EO370" s="280"/>
      <c r="EP370" s="521"/>
      <c r="EQ370" s="521"/>
      <c r="ER370" s="521"/>
      <c r="ES370" s="521"/>
      <c r="ET370" s="521"/>
      <c r="EU370" s="521"/>
      <c r="EV370" s="521"/>
      <c r="EW370" s="521"/>
      <c r="EX370" s="521"/>
      <c r="EY370" s="521"/>
      <c r="EZ370" s="521"/>
      <c r="FA370" s="521"/>
      <c r="FB370" s="521"/>
      <c r="FC370" s="521"/>
      <c r="FD370" s="521"/>
      <c r="FE370" s="521"/>
      <c r="FF370" s="521"/>
      <c r="FG370" s="521"/>
      <c r="FH370" s="567"/>
      <c r="FI370" s="567"/>
      <c r="FJ370" s="567"/>
      <c r="FK370" s="567"/>
      <c r="FL370" s="567"/>
      <c r="FM370" s="567"/>
      <c r="FN370" s="567"/>
      <c r="FO370" s="567"/>
    </row>
    <row r="371" spans="1:171" s="568" customFormat="1" ht="13.9" customHeight="1">
      <c r="A371" s="566"/>
      <c r="B371" s="566"/>
      <c r="C371" s="566"/>
      <c r="D371" s="569"/>
      <c r="E371" s="570"/>
      <c r="F371" s="571"/>
      <c r="G371" s="571"/>
      <c r="H371" s="571"/>
      <c r="I371" s="571"/>
      <c r="J371" s="571"/>
      <c r="K371" s="572"/>
      <c r="L371" s="569"/>
      <c r="M371" s="569"/>
      <c r="N371" s="569"/>
      <c r="O371" s="569"/>
      <c r="P371" s="566"/>
      <c r="Q371" s="566"/>
      <c r="R371" s="566"/>
      <c r="S371" s="566"/>
      <c r="T371" s="566"/>
      <c r="U371" s="566"/>
      <c r="V371" s="566"/>
      <c r="W371" s="566"/>
      <c r="X371" s="553"/>
      <c r="Y371" s="553"/>
      <c r="Z371" s="553"/>
      <c r="AA371" s="554"/>
      <c r="AB371" s="550"/>
      <c r="AC371" s="550"/>
      <c r="AD371" s="550"/>
      <c r="AE371" s="307"/>
      <c r="AF371" s="307"/>
      <c r="AG371" s="307"/>
      <c r="AH371" s="307"/>
      <c r="AI371" s="307"/>
      <c r="AJ371" s="307"/>
      <c r="AK371" s="307"/>
      <c r="AL371" s="307"/>
      <c r="AM371" s="307"/>
      <c r="AN371" s="307"/>
      <c r="AO371" s="307"/>
      <c r="AP371" s="307"/>
      <c r="AQ371" s="307"/>
      <c r="AR371" s="307"/>
      <c r="AS371" s="307"/>
      <c r="AT371" s="307"/>
      <c r="AU371" s="307"/>
      <c r="AV371" s="307"/>
      <c r="AW371" s="307"/>
      <c r="AX371" s="307"/>
      <c r="AY371" s="307"/>
      <c r="AZ371" s="307"/>
      <c r="BA371" s="307"/>
      <c r="BB371" s="307"/>
      <c r="BC371" s="307"/>
      <c r="BD371" s="307"/>
      <c r="BE371" s="307"/>
      <c r="BF371" s="307"/>
      <c r="BG371" s="307"/>
      <c r="BH371" s="307"/>
      <c r="BI371" s="307"/>
      <c r="BJ371" s="307"/>
      <c r="BK371" s="307"/>
      <c r="BL371" s="307"/>
      <c r="BM371" s="307"/>
      <c r="BN371" s="307"/>
      <c r="BO371" s="307"/>
      <c r="BP371" s="307"/>
      <c r="BQ371" s="307"/>
      <c r="BR371" s="307"/>
      <c r="BS371" s="307"/>
      <c r="BT371" s="307"/>
      <c r="BU371" s="307"/>
      <c r="BV371" s="307"/>
      <c r="BW371" s="307"/>
      <c r="BX371" s="307"/>
      <c r="BY371" s="307"/>
      <c r="BZ371" s="307"/>
      <c r="CA371" s="307"/>
      <c r="CB371" s="307"/>
      <c r="CC371" s="307"/>
      <c r="CD371" s="307"/>
      <c r="CE371" s="307"/>
      <c r="CF371" s="307"/>
      <c r="CG371" s="307"/>
      <c r="CH371" s="307"/>
      <c r="CI371" s="307"/>
      <c r="CJ371" s="307"/>
      <c r="CK371" s="307"/>
      <c r="CL371" s="307"/>
      <c r="CM371" s="307"/>
      <c r="CN371" s="307"/>
      <c r="CO371" s="307"/>
      <c r="CP371" s="307"/>
      <c r="CQ371" s="307"/>
      <c r="CR371" s="307"/>
      <c r="CS371" s="307"/>
      <c r="CT371" s="307"/>
      <c r="CU371" s="307"/>
      <c r="CV371" s="307"/>
      <c r="CW371" s="307"/>
      <c r="CX371" s="307"/>
      <c r="CY371" s="307"/>
      <c r="CZ371" s="307"/>
      <c r="DA371" s="307"/>
      <c r="DB371" s="280"/>
      <c r="DC371" s="280"/>
      <c r="DD371" s="280"/>
      <c r="DE371" s="280"/>
      <c r="DF371" s="280"/>
      <c r="DG371" s="280"/>
      <c r="DH371" s="280"/>
      <c r="DI371" s="280"/>
      <c r="DJ371" s="280"/>
      <c r="DK371" s="280"/>
      <c r="DL371" s="280"/>
      <c r="DM371" s="280"/>
      <c r="DN371" s="280"/>
      <c r="DO371" s="280"/>
      <c r="DP371" s="280"/>
      <c r="DQ371" s="280"/>
      <c r="DR371" s="280"/>
      <c r="DS371" s="280"/>
      <c r="DT371" s="280"/>
      <c r="DU371" s="280"/>
      <c r="DV371" s="280"/>
      <c r="DW371" s="280"/>
      <c r="DX371" s="280"/>
      <c r="DY371" s="280"/>
      <c r="DZ371" s="280"/>
      <c r="EA371" s="280"/>
      <c r="EB371" s="280"/>
      <c r="EC371" s="280"/>
      <c r="ED371" s="280"/>
      <c r="EE371" s="280"/>
      <c r="EF371" s="280"/>
      <c r="EG371" s="280"/>
      <c r="EH371" s="280"/>
      <c r="EI371" s="280"/>
      <c r="EJ371" s="280"/>
      <c r="EK371" s="280"/>
      <c r="EL371" s="280"/>
      <c r="EM371" s="280"/>
      <c r="EN371" s="280"/>
      <c r="EO371" s="280"/>
      <c r="EP371" s="521"/>
      <c r="EQ371" s="521"/>
      <c r="ER371" s="521"/>
      <c r="ES371" s="521"/>
      <c r="ET371" s="521"/>
      <c r="EU371" s="521"/>
      <c r="EV371" s="521"/>
      <c r="EW371" s="521"/>
      <c r="EX371" s="521"/>
      <c r="EY371" s="521"/>
      <c r="EZ371" s="521"/>
      <c r="FA371" s="521"/>
      <c r="FB371" s="521"/>
      <c r="FC371" s="521"/>
      <c r="FD371" s="521"/>
      <c r="FE371" s="521"/>
      <c r="FF371" s="521"/>
      <c r="FG371" s="521"/>
      <c r="FH371" s="567"/>
      <c r="FI371" s="567"/>
      <c r="FJ371" s="567"/>
      <c r="FK371" s="567"/>
      <c r="FL371" s="567"/>
      <c r="FM371" s="567"/>
      <c r="FN371" s="567"/>
      <c r="FO371" s="567"/>
    </row>
    <row r="372" spans="1:171" s="568" customFormat="1" ht="13.9" customHeight="1">
      <c r="A372" s="566"/>
      <c r="B372" s="566"/>
      <c r="C372" s="566"/>
      <c r="D372" s="569"/>
      <c r="E372" s="570"/>
      <c r="F372" s="571"/>
      <c r="G372" s="571"/>
      <c r="H372" s="571"/>
      <c r="I372" s="571"/>
      <c r="J372" s="571"/>
      <c r="K372" s="572"/>
      <c r="L372" s="569"/>
      <c r="M372" s="569"/>
      <c r="N372" s="569"/>
      <c r="O372" s="569"/>
      <c r="P372" s="566"/>
      <c r="Q372" s="566"/>
      <c r="R372" s="566"/>
      <c r="S372" s="566"/>
      <c r="T372" s="566"/>
      <c r="U372" s="566"/>
      <c r="V372" s="566"/>
      <c r="W372" s="566"/>
      <c r="X372" s="553"/>
      <c r="Y372" s="553"/>
      <c r="Z372" s="553"/>
      <c r="AA372" s="554"/>
      <c r="AB372" s="550"/>
      <c r="AC372" s="550"/>
      <c r="AD372" s="550"/>
      <c r="AE372" s="307"/>
      <c r="AF372" s="307"/>
      <c r="AG372" s="307"/>
      <c r="AH372" s="307"/>
      <c r="AI372" s="307"/>
      <c r="AJ372" s="307"/>
      <c r="AK372" s="307"/>
      <c r="AL372" s="307"/>
      <c r="AM372" s="307"/>
      <c r="AN372" s="307"/>
      <c r="AO372" s="307"/>
      <c r="AP372" s="307"/>
      <c r="AQ372" s="307"/>
      <c r="AR372" s="307"/>
      <c r="AS372" s="307"/>
      <c r="AT372" s="307"/>
      <c r="AU372" s="307"/>
      <c r="AV372" s="307"/>
      <c r="AW372" s="307"/>
      <c r="AX372" s="307"/>
      <c r="AY372" s="307"/>
      <c r="AZ372" s="307"/>
      <c r="BA372" s="307"/>
      <c r="BB372" s="307"/>
      <c r="BC372" s="307"/>
      <c r="BD372" s="307"/>
      <c r="BE372" s="307"/>
      <c r="BF372" s="307"/>
      <c r="BG372" s="307"/>
      <c r="BH372" s="307"/>
      <c r="BI372" s="307"/>
      <c r="BJ372" s="307"/>
      <c r="BK372" s="307"/>
      <c r="BL372" s="307"/>
      <c r="BM372" s="307"/>
      <c r="BN372" s="307"/>
      <c r="BO372" s="307"/>
      <c r="BP372" s="307"/>
      <c r="BQ372" s="307"/>
      <c r="BR372" s="307"/>
      <c r="BS372" s="307"/>
      <c r="BT372" s="307"/>
      <c r="BU372" s="307"/>
      <c r="BV372" s="307"/>
      <c r="BW372" s="307"/>
      <c r="BX372" s="307"/>
      <c r="BY372" s="307"/>
      <c r="BZ372" s="307"/>
      <c r="CA372" s="307"/>
      <c r="CB372" s="307"/>
      <c r="CC372" s="307"/>
      <c r="CD372" s="307"/>
      <c r="CE372" s="307"/>
      <c r="CF372" s="307"/>
      <c r="CG372" s="307"/>
      <c r="CH372" s="307"/>
      <c r="CI372" s="307"/>
      <c r="CJ372" s="307"/>
      <c r="CK372" s="307"/>
      <c r="CL372" s="307"/>
      <c r="CM372" s="307"/>
      <c r="CN372" s="307"/>
      <c r="CO372" s="307"/>
      <c r="CP372" s="307"/>
      <c r="CQ372" s="307"/>
      <c r="CR372" s="307"/>
      <c r="CS372" s="307"/>
      <c r="CT372" s="307"/>
      <c r="CU372" s="307"/>
      <c r="CV372" s="307"/>
      <c r="CW372" s="307"/>
      <c r="CX372" s="307"/>
      <c r="CY372" s="307"/>
      <c r="CZ372" s="307"/>
      <c r="DA372" s="307"/>
      <c r="DB372" s="280"/>
      <c r="DC372" s="280"/>
      <c r="DD372" s="280"/>
      <c r="DE372" s="280"/>
      <c r="DF372" s="280"/>
      <c r="DG372" s="280"/>
      <c r="DH372" s="280"/>
      <c r="DI372" s="280"/>
      <c r="DJ372" s="280"/>
      <c r="DK372" s="280"/>
      <c r="DL372" s="280"/>
      <c r="DM372" s="280"/>
      <c r="DN372" s="280"/>
      <c r="DO372" s="280"/>
      <c r="DP372" s="280"/>
      <c r="DQ372" s="280"/>
      <c r="DR372" s="280"/>
      <c r="DS372" s="280"/>
      <c r="DT372" s="280"/>
      <c r="DU372" s="280"/>
      <c r="DV372" s="280"/>
      <c r="DW372" s="280"/>
      <c r="DX372" s="280"/>
      <c r="DY372" s="280"/>
      <c r="DZ372" s="280"/>
      <c r="EA372" s="280"/>
      <c r="EB372" s="280"/>
      <c r="EC372" s="280"/>
      <c r="ED372" s="280"/>
      <c r="EE372" s="280"/>
      <c r="EF372" s="280"/>
      <c r="EG372" s="280"/>
      <c r="EH372" s="280"/>
      <c r="EI372" s="280"/>
      <c r="EJ372" s="280"/>
      <c r="EK372" s="280"/>
      <c r="EL372" s="280"/>
      <c r="EM372" s="280"/>
      <c r="EN372" s="280"/>
      <c r="EO372" s="280"/>
      <c r="EP372" s="521"/>
      <c r="EQ372" s="521"/>
      <c r="ER372" s="521"/>
      <c r="ES372" s="521"/>
      <c r="ET372" s="521"/>
      <c r="EU372" s="521"/>
      <c r="EV372" s="521"/>
      <c r="EW372" s="521"/>
      <c r="EX372" s="521"/>
      <c r="EY372" s="521"/>
      <c r="EZ372" s="521"/>
      <c r="FA372" s="521"/>
      <c r="FB372" s="521"/>
      <c r="FC372" s="521"/>
      <c r="FD372" s="521"/>
      <c r="FE372" s="521"/>
      <c r="FF372" s="521"/>
      <c r="FG372" s="521"/>
      <c r="FH372" s="567"/>
      <c r="FI372" s="567"/>
      <c r="FJ372" s="567"/>
      <c r="FK372" s="567"/>
      <c r="FL372" s="567"/>
      <c r="FM372" s="567"/>
      <c r="FN372" s="567"/>
      <c r="FO372" s="567"/>
    </row>
    <row r="373" spans="1:171" s="568" customFormat="1" ht="13.9" customHeight="1">
      <c r="A373" s="566"/>
      <c r="B373" s="566"/>
      <c r="C373" s="566"/>
      <c r="D373" s="569"/>
      <c r="E373" s="570"/>
      <c r="F373" s="571"/>
      <c r="G373" s="571"/>
      <c r="H373" s="571"/>
      <c r="I373" s="571"/>
      <c r="J373" s="571"/>
      <c r="K373" s="572"/>
      <c r="L373" s="569"/>
      <c r="M373" s="569"/>
      <c r="N373" s="569"/>
      <c r="O373" s="569"/>
      <c r="P373" s="566"/>
      <c r="Q373" s="566"/>
      <c r="R373" s="566"/>
      <c r="S373" s="566"/>
      <c r="T373" s="566"/>
      <c r="U373" s="566"/>
      <c r="V373" s="566"/>
      <c r="W373" s="566"/>
      <c r="X373" s="553"/>
      <c r="Y373" s="553"/>
      <c r="Z373" s="553"/>
      <c r="AA373" s="554"/>
      <c r="AB373" s="550"/>
      <c r="AC373" s="550"/>
      <c r="AD373" s="550"/>
      <c r="AE373" s="307"/>
      <c r="AF373" s="307"/>
      <c r="AG373" s="307"/>
      <c r="AH373" s="307"/>
      <c r="AI373" s="307"/>
      <c r="AJ373" s="307"/>
      <c r="AK373" s="307"/>
      <c r="AL373" s="307"/>
      <c r="AM373" s="307"/>
      <c r="AN373" s="307"/>
      <c r="AO373" s="307"/>
      <c r="AP373" s="307"/>
      <c r="AQ373" s="307"/>
      <c r="AR373" s="307"/>
      <c r="AS373" s="307"/>
      <c r="AT373" s="307"/>
      <c r="AU373" s="307"/>
      <c r="AV373" s="307"/>
      <c r="AW373" s="307"/>
      <c r="AX373" s="307"/>
      <c r="AY373" s="307"/>
      <c r="AZ373" s="307"/>
      <c r="BA373" s="307"/>
      <c r="BB373" s="307"/>
      <c r="BC373" s="307"/>
      <c r="BD373" s="307"/>
      <c r="BE373" s="307"/>
      <c r="BF373" s="307"/>
      <c r="BG373" s="307"/>
      <c r="BH373" s="307"/>
      <c r="BI373" s="307"/>
      <c r="BJ373" s="307"/>
      <c r="BK373" s="307"/>
      <c r="BL373" s="307"/>
      <c r="BM373" s="307"/>
      <c r="BN373" s="307"/>
      <c r="BO373" s="307"/>
      <c r="BP373" s="307"/>
      <c r="BQ373" s="307"/>
      <c r="BR373" s="307"/>
      <c r="BS373" s="307"/>
      <c r="BT373" s="307"/>
      <c r="BU373" s="307"/>
      <c r="BV373" s="307"/>
      <c r="BW373" s="307"/>
      <c r="BX373" s="307"/>
      <c r="BY373" s="307"/>
      <c r="BZ373" s="307"/>
      <c r="CA373" s="307"/>
      <c r="CB373" s="307"/>
      <c r="CC373" s="307"/>
      <c r="CD373" s="307"/>
      <c r="CE373" s="307"/>
      <c r="CF373" s="307"/>
      <c r="CG373" s="307"/>
      <c r="CH373" s="307"/>
      <c r="CI373" s="307"/>
      <c r="CJ373" s="307"/>
      <c r="CK373" s="307"/>
      <c r="CL373" s="307"/>
      <c r="CM373" s="307"/>
      <c r="CN373" s="307"/>
      <c r="CO373" s="307"/>
      <c r="CP373" s="307"/>
      <c r="CQ373" s="307"/>
      <c r="CR373" s="307"/>
      <c r="CS373" s="307"/>
      <c r="CT373" s="307"/>
      <c r="CU373" s="307"/>
      <c r="CV373" s="307"/>
      <c r="CW373" s="307"/>
      <c r="CX373" s="307"/>
      <c r="CY373" s="307"/>
      <c r="CZ373" s="307"/>
      <c r="DA373" s="307"/>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521"/>
      <c r="EQ373" s="521"/>
      <c r="ER373" s="521"/>
      <c r="ES373" s="521"/>
      <c r="ET373" s="521"/>
      <c r="EU373" s="521"/>
      <c r="EV373" s="521"/>
      <c r="EW373" s="521"/>
      <c r="EX373" s="521"/>
      <c r="EY373" s="521"/>
      <c r="EZ373" s="521"/>
      <c r="FA373" s="521"/>
      <c r="FB373" s="521"/>
      <c r="FC373" s="521"/>
      <c r="FD373" s="521"/>
      <c r="FE373" s="521"/>
      <c r="FF373" s="521"/>
      <c r="FG373" s="521"/>
      <c r="FH373" s="567"/>
      <c r="FI373" s="567"/>
      <c r="FJ373" s="567"/>
      <c r="FK373" s="567"/>
      <c r="FL373" s="567"/>
      <c r="FM373" s="567"/>
      <c r="FN373" s="567"/>
      <c r="FO373" s="567"/>
    </row>
    <row r="374" spans="1:171" s="568" customFormat="1" ht="13.9" customHeight="1">
      <c r="A374" s="566"/>
      <c r="B374" s="566"/>
      <c r="C374" s="566"/>
      <c r="D374" s="569"/>
      <c r="E374" s="570"/>
      <c r="F374" s="571"/>
      <c r="G374" s="571"/>
      <c r="H374" s="571"/>
      <c r="I374" s="571"/>
      <c r="J374" s="571"/>
      <c r="K374" s="572"/>
      <c r="L374" s="569"/>
      <c r="M374" s="569"/>
      <c r="N374" s="569"/>
      <c r="O374" s="569"/>
      <c r="P374" s="566"/>
      <c r="Q374" s="566"/>
      <c r="R374" s="566"/>
      <c r="S374" s="566"/>
      <c r="T374" s="566"/>
      <c r="U374" s="566"/>
      <c r="V374" s="566"/>
      <c r="W374" s="566"/>
      <c r="X374" s="553"/>
      <c r="Y374" s="553"/>
      <c r="Z374" s="553"/>
      <c r="AA374" s="554"/>
      <c r="AB374" s="550"/>
      <c r="AC374" s="550"/>
      <c r="AD374" s="550"/>
      <c r="AE374" s="307"/>
      <c r="AF374" s="307"/>
      <c r="AG374" s="307"/>
      <c r="AH374" s="307"/>
      <c r="AI374" s="307"/>
      <c r="AJ374" s="307"/>
      <c r="AK374" s="307"/>
      <c r="AL374" s="307"/>
      <c r="AM374" s="307"/>
      <c r="AN374" s="307"/>
      <c r="AO374" s="307"/>
      <c r="AP374" s="307"/>
      <c r="AQ374" s="307"/>
      <c r="AR374" s="307"/>
      <c r="AS374" s="307"/>
      <c r="AT374" s="307"/>
      <c r="AU374" s="307"/>
      <c r="AV374" s="307"/>
      <c r="AW374" s="307"/>
      <c r="AX374" s="307"/>
      <c r="AY374" s="307"/>
      <c r="AZ374" s="307"/>
      <c r="BA374" s="307"/>
      <c r="BB374" s="307"/>
      <c r="BC374" s="307"/>
      <c r="BD374" s="307"/>
      <c r="BE374" s="307"/>
      <c r="BF374" s="307"/>
      <c r="BG374" s="307"/>
      <c r="BH374" s="307"/>
      <c r="BI374" s="307"/>
      <c r="BJ374" s="307"/>
      <c r="BK374" s="307"/>
      <c r="BL374" s="307"/>
      <c r="BM374" s="307"/>
      <c r="BN374" s="307"/>
      <c r="BO374" s="307"/>
      <c r="BP374" s="307"/>
      <c r="BQ374" s="307"/>
      <c r="BR374" s="307"/>
      <c r="BS374" s="307"/>
      <c r="BT374" s="307"/>
      <c r="BU374" s="307"/>
      <c r="BV374" s="307"/>
      <c r="BW374" s="307"/>
      <c r="BX374" s="307"/>
      <c r="BY374" s="307"/>
      <c r="BZ374" s="307"/>
      <c r="CA374" s="307"/>
      <c r="CB374" s="307"/>
      <c r="CC374" s="307"/>
      <c r="CD374" s="307"/>
      <c r="CE374" s="307"/>
      <c r="CF374" s="307"/>
      <c r="CG374" s="307"/>
      <c r="CH374" s="307"/>
      <c r="CI374" s="307"/>
      <c r="CJ374" s="307"/>
      <c r="CK374" s="307"/>
      <c r="CL374" s="307"/>
      <c r="CM374" s="307"/>
      <c r="CN374" s="307"/>
      <c r="CO374" s="307"/>
      <c r="CP374" s="307"/>
      <c r="CQ374" s="307"/>
      <c r="CR374" s="307"/>
      <c r="CS374" s="307"/>
      <c r="CT374" s="307"/>
      <c r="CU374" s="307"/>
      <c r="CV374" s="307"/>
      <c r="CW374" s="307"/>
      <c r="CX374" s="307"/>
      <c r="CY374" s="307"/>
      <c r="CZ374" s="307"/>
      <c r="DA374" s="307"/>
      <c r="DB374" s="280"/>
      <c r="DC374" s="280"/>
      <c r="DD374" s="280"/>
      <c r="DE374" s="280"/>
      <c r="DF374" s="280"/>
      <c r="DG374" s="280"/>
      <c r="DH374" s="280"/>
      <c r="DI374" s="280"/>
      <c r="DJ374" s="280"/>
      <c r="DK374" s="280"/>
      <c r="DL374" s="280"/>
      <c r="DM374" s="280"/>
      <c r="DN374" s="280"/>
      <c r="DO374" s="280"/>
      <c r="DP374" s="280"/>
      <c r="DQ374" s="280"/>
      <c r="DR374" s="280"/>
      <c r="DS374" s="280"/>
      <c r="DT374" s="280"/>
      <c r="DU374" s="280"/>
      <c r="DV374" s="280"/>
      <c r="DW374" s="280"/>
      <c r="DX374" s="280"/>
      <c r="DY374" s="280"/>
      <c r="DZ374" s="280"/>
      <c r="EA374" s="280"/>
      <c r="EB374" s="280"/>
      <c r="EC374" s="280"/>
      <c r="ED374" s="280"/>
      <c r="EE374" s="280"/>
      <c r="EF374" s="280"/>
      <c r="EG374" s="280"/>
      <c r="EH374" s="280"/>
      <c r="EI374" s="280"/>
      <c r="EJ374" s="280"/>
      <c r="EK374" s="280"/>
      <c r="EL374" s="280"/>
      <c r="EM374" s="280"/>
      <c r="EN374" s="280"/>
      <c r="EO374" s="280"/>
      <c r="EP374" s="521"/>
      <c r="EQ374" s="521"/>
      <c r="ER374" s="521"/>
      <c r="ES374" s="521"/>
      <c r="ET374" s="521"/>
      <c r="EU374" s="521"/>
      <c r="EV374" s="521"/>
      <c r="EW374" s="521"/>
      <c r="EX374" s="521"/>
      <c r="EY374" s="521"/>
      <c r="EZ374" s="521"/>
      <c r="FA374" s="521"/>
      <c r="FB374" s="521"/>
      <c r="FC374" s="521"/>
      <c r="FD374" s="521"/>
      <c r="FE374" s="521"/>
      <c r="FF374" s="521"/>
      <c r="FG374" s="521"/>
      <c r="FH374" s="567"/>
      <c r="FI374" s="567"/>
      <c r="FJ374" s="567"/>
      <c r="FK374" s="567"/>
      <c r="FL374" s="567"/>
      <c r="FM374" s="567"/>
      <c r="FN374" s="567"/>
      <c r="FO374" s="567"/>
    </row>
    <row r="375" spans="1:171" s="568" customFormat="1" ht="13.9" customHeight="1">
      <c r="A375" s="566"/>
      <c r="B375" s="566"/>
      <c r="C375" s="566"/>
      <c r="D375" s="569"/>
      <c r="E375" s="570"/>
      <c r="F375" s="571"/>
      <c r="G375" s="571"/>
      <c r="H375" s="571"/>
      <c r="I375" s="571"/>
      <c r="J375" s="571"/>
      <c r="K375" s="572"/>
      <c r="L375" s="569"/>
      <c r="M375" s="569"/>
      <c r="N375" s="569"/>
      <c r="O375" s="569"/>
      <c r="P375" s="566"/>
      <c r="Q375" s="566"/>
      <c r="R375" s="566"/>
      <c r="S375" s="566"/>
      <c r="T375" s="566"/>
      <c r="U375" s="566"/>
      <c r="V375" s="566"/>
      <c r="W375" s="566"/>
      <c r="X375" s="553"/>
      <c r="Y375" s="553"/>
      <c r="Z375" s="553"/>
      <c r="AA375" s="554"/>
      <c r="AB375" s="550"/>
      <c r="AC375" s="550"/>
      <c r="AD375" s="550"/>
      <c r="AE375" s="307"/>
      <c r="AF375" s="307"/>
      <c r="AG375" s="307"/>
      <c r="AH375" s="307"/>
      <c r="AI375" s="307"/>
      <c r="AJ375" s="307"/>
      <c r="AK375" s="307"/>
      <c r="AL375" s="307"/>
      <c r="AM375" s="307"/>
      <c r="AN375" s="307"/>
      <c r="AO375" s="307"/>
      <c r="AP375" s="307"/>
      <c r="AQ375" s="307"/>
      <c r="AR375" s="307"/>
      <c r="AS375" s="307"/>
      <c r="AT375" s="307"/>
      <c r="AU375" s="307"/>
      <c r="AV375" s="307"/>
      <c r="AW375" s="307"/>
      <c r="AX375" s="307"/>
      <c r="AY375" s="307"/>
      <c r="AZ375" s="307"/>
      <c r="BA375" s="307"/>
      <c r="BB375" s="307"/>
      <c r="BC375" s="307"/>
      <c r="BD375" s="307"/>
      <c r="BE375" s="307"/>
      <c r="BF375" s="307"/>
      <c r="BG375" s="307"/>
      <c r="BH375" s="307"/>
      <c r="BI375" s="307"/>
      <c r="BJ375" s="307"/>
      <c r="BK375" s="307"/>
      <c r="BL375" s="307"/>
      <c r="BM375" s="307"/>
      <c r="BN375" s="307"/>
      <c r="BO375" s="307"/>
      <c r="BP375" s="307"/>
      <c r="BQ375" s="307"/>
      <c r="BR375" s="307"/>
      <c r="BS375" s="307"/>
      <c r="BT375" s="307"/>
      <c r="BU375" s="307"/>
      <c r="BV375" s="307"/>
      <c r="BW375" s="307"/>
      <c r="BX375" s="307"/>
      <c r="BY375" s="307"/>
      <c r="BZ375" s="307"/>
      <c r="CA375" s="307"/>
      <c r="CB375" s="307"/>
      <c r="CC375" s="307"/>
      <c r="CD375" s="307"/>
      <c r="CE375" s="307"/>
      <c r="CF375" s="307"/>
      <c r="CG375" s="307"/>
      <c r="CH375" s="307"/>
      <c r="CI375" s="307"/>
      <c r="CJ375" s="307"/>
      <c r="CK375" s="307"/>
      <c r="CL375" s="307"/>
      <c r="CM375" s="307"/>
      <c r="CN375" s="307"/>
      <c r="CO375" s="307"/>
      <c r="CP375" s="307"/>
      <c r="CQ375" s="307"/>
      <c r="CR375" s="307"/>
      <c r="CS375" s="307"/>
      <c r="CT375" s="307"/>
      <c r="CU375" s="307"/>
      <c r="CV375" s="307"/>
      <c r="CW375" s="307"/>
      <c r="CX375" s="307"/>
      <c r="CY375" s="307"/>
      <c r="CZ375" s="307"/>
      <c r="DA375" s="307"/>
      <c r="DB375" s="280"/>
      <c r="DC375" s="280"/>
      <c r="DD375" s="280"/>
      <c r="DE375" s="280"/>
      <c r="DF375" s="280"/>
      <c r="DG375" s="280"/>
      <c r="DH375" s="280"/>
      <c r="DI375" s="280"/>
      <c r="DJ375" s="280"/>
      <c r="DK375" s="280"/>
      <c r="DL375" s="280"/>
      <c r="DM375" s="280"/>
      <c r="DN375" s="280"/>
      <c r="DO375" s="280"/>
      <c r="DP375" s="280"/>
      <c r="DQ375" s="280"/>
      <c r="DR375" s="280"/>
      <c r="DS375" s="280"/>
      <c r="DT375" s="280"/>
      <c r="DU375" s="280"/>
      <c r="DV375" s="280"/>
      <c r="DW375" s="280"/>
      <c r="DX375" s="280"/>
      <c r="DY375" s="280"/>
      <c r="DZ375" s="280"/>
      <c r="EA375" s="280"/>
      <c r="EB375" s="280"/>
      <c r="EC375" s="280"/>
      <c r="ED375" s="280"/>
      <c r="EE375" s="280"/>
      <c r="EF375" s="280"/>
      <c r="EG375" s="280"/>
      <c r="EH375" s="280"/>
      <c r="EI375" s="280"/>
      <c r="EJ375" s="280"/>
      <c r="EK375" s="280"/>
      <c r="EL375" s="280"/>
      <c r="EM375" s="280"/>
      <c r="EN375" s="280"/>
      <c r="EO375" s="280"/>
      <c r="EP375" s="521"/>
      <c r="EQ375" s="521"/>
      <c r="ER375" s="521"/>
      <c r="ES375" s="521"/>
      <c r="ET375" s="521"/>
      <c r="EU375" s="521"/>
      <c r="EV375" s="521"/>
      <c r="EW375" s="521"/>
      <c r="EX375" s="521"/>
      <c r="EY375" s="521"/>
      <c r="EZ375" s="521"/>
      <c r="FA375" s="521"/>
      <c r="FB375" s="521"/>
      <c r="FC375" s="521"/>
      <c r="FD375" s="521"/>
      <c r="FE375" s="521"/>
      <c r="FF375" s="521"/>
      <c r="FG375" s="521"/>
      <c r="FH375" s="567"/>
      <c r="FI375" s="567"/>
      <c r="FJ375" s="567"/>
      <c r="FK375" s="567"/>
      <c r="FL375" s="567"/>
      <c r="FM375" s="567"/>
      <c r="FN375" s="567"/>
      <c r="FO375" s="567"/>
    </row>
    <row r="376" spans="1:171" s="568" customFormat="1" ht="13.9" customHeight="1">
      <c r="A376" s="566"/>
      <c r="B376" s="566"/>
      <c r="C376" s="566"/>
      <c r="D376" s="569"/>
      <c r="E376" s="570"/>
      <c r="F376" s="571"/>
      <c r="G376" s="571"/>
      <c r="H376" s="571"/>
      <c r="I376" s="571"/>
      <c r="J376" s="571"/>
      <c r="K376" s="572"/>
      <c r="L376" s="569"/>
      <c r="M376" s="569"/>
      <c r="N376" s="569"/>
      <c r="O376" s="569"/>
      <c r="P376" s="566"/>
      <c r="Q376" s="566"/>
      <c r="R376" s="566"/>
      <c r="S376" s="566"/>
      <c r="T376" s="566"/>
      <c r="U376" s="566"/>
      <c r="V376" s="566"/>
      <c r="W376" s="566"/>
      <c r="X376" s="553"/>
      <c r="Y376" s="553"/>
      <c r="Z376" s="553"/>
      <c r="AA376" s="554"/>
      <c r="AB376" s="550"/>
      <c r="AC376" s="550"/>
      <c r="AD376" s="550"/>
      <c r="AE376" s="307"/>
      <c r="AF376" s="307"/>
      <c r="AG376" s="307"/>
      <c r="AH376" s="307"/>
      <c r="AI376" s="307"/>
      <c r="AJ376" s="307"/>
      <c r="AK376" s="307"/>
      <c r="AL376" s="307"/>
      <c r="AM376" s="307"/>
      <c r="AN376" s="307"/>
      <c r="AO376" s="307"/>
      <c r="AP376" s="307"/>
      <c r="AQ376" s="307"/>
      <c r="AR376" s="307"/>
      <c r="AS376" s="307"/>
      <c r="AT376" s="307"/>
      <c r="AU376" s="307"/>
      <c r="AV376" s="307"/>
      <c r="AW376" s="307"/>
      <c r="AX376" s="307"/>
      <c r="AY376" s="307"/>
      <c r="AZ376" s="307"/>
      <c r="BA376" s="307"/>
      <c r="BB376" s="307"/>
      <c r="BC376" s="307"/>
      <c r="BD376" s="307"/>
      <c r="BE376" s="307"/>
      <c r="BF376" s="307"/>
      <c r="BG376" s="307"/>
      <c r="BH376" s="307"/>
      <c r="BI376" s="307"/>
      <c r="BJ376" s="307"/>
      <c r="BK376" s="307"/>
      <c r="BL376" s="307"/>
      <c r="BM376" s="307"/>
      <c r="BN376" s="307"/>
      <c r="BO376" s="307"/>
      <c r="BP376" s="307"/>
      <c r="BQ376" s="307"/>
      <c r="BR376" s="307"/>
      <c r="BS376" s="307"/>
      <c r="BT376" s="307"/>
      <c r="BU376" s="307"/>
      <c r="BV376" s="307"/>
      <c r="BW376" s="307"/>
      <c r="BX376" s="307"/>
      <c r="BY376" s="307"/>
      <c r="BZ376" s="307"/>
      <c r="CA376" s="307"/>
      <c r="CB376" s="307"/>
      <c r="CC376" s="307"/>
      <c r="CD376" s="307"/>
      <c r="CE376" s="307"/>
      <c r="CF376" s="307"/>
      <c r="CG376" s="307"/>
      <c r="CH376" s="307"/>
      <c r="CI376" s="307"/>
      <c r="CJ376" s="307"/>
      <c r="CK376" s="307"/>
      <c r="CL376" s="307"/>
      <c r="CM376" s="307"/>
      <c r="CN376" s="307"/>
      <c r="CO376" s="307"/>
      <c r="CP376" s="307"/>
      <c r="CQ376" s="307"/>
      <c r="CR376" s="307"/>
      <c r="CS376" s="307"/>
      <c r="CT376" s="307"/>
      <c r="CU376" s="307"/>
      <c r="CV376" s="307"/>
      <c r="CW376" s="307"/>
      <c r="CX376" s="307"/>
      <c r="CY376" s="307"/>
      <c r="CZ376" s="307"/>
      <c r="DA376" s="307"/>
      <c r="DB376" s="280"/>
      <c r="DC376" s="280"/>
      <c r="DD376" s="280"/>
      <c r="DE376" s="280"/>
      <c r="DF376" s="280"/>
      <c r="DG376" s="280"/>
      <c r="DH376" s="280"/>
      <c r="DI376" s="280"/>
      <c r="DJ376" s="280"/>
      <c r="DK376" s="280"/>
      <c r="DL376" s="280"/>
      <c r="DM376" s="280"/>
      <c r="DN376" s="280"/>
      <c r="DO376" s="280"/>
      <c r="DP376" s="280"/>
      <c r="DQ376" s="280"/>
      <c r="DR376" s="280"/>
      <c r="DS376" s="280"/>
      <c r="DT376" s="280"/>
      <c r="DU376" s="280"/>
      <c r="DV376" s="280"/>
      <c r="DW376" s="280"/>
      <c r="DX376" s="280"/>
      <c r="DY376" s="280"/>
      <c r="DZ376" s="280"/>
      <c r="EA376" s="280"/>
      <c r="EB376" s="280"/>
      <c r="EC376" s="280"/>
      <c r="ED376" s="280"/>
      <c r="EE376" s="280"/>
      <c r="EF376" s="280"/>
      <c r="EG376" s="280"/>
      <c r="EH376" s="280"/>
      <c r="EI376" s="280"/>
      <c r="EJ376" s="280"/>
      <c r="EK376" s="280"/>
      <c r="EL376" s="280"/>
      <c r="EM376" s="280"/>
      <c r="EN376" s="280"/>
      <c r="EO376" s="280"/>
      <c r="EP376" s="521"/>
      <c r="EQ376" s="521"/>
      <c r="ER376" s="521"/>
      <c r="ES376" s="521"/>
      <c r="ET376" s="521"/>
      <c r="EU376" s="521"/>
      <c r="EV376" s="521"/>
      <c r="EW376" s="521"/>
      <c r="EX376" s="521"/>
      <c r="EY376" s="521"/>
      <c r="EZ376" s="521"/>
      <c r="FA376" s="521"/>
      <c r="FB376" s="521"/>
      <c r="FC376" s="521"/>
      <c r="FD376" s="521"/>
      <c r="FE376" s="521"/>
      <c r="FF376" s="521"/>
      <c r="FG376" s="521"/>
      <c r="FH376" s="567"/>
      <c r="FI376" s="567"/>
      <c r="FJ376" s="567"/>
      <c r="FK376" s="567"/>
      <c r="FL376" s="567"/>
      <c r="FM376" s="567"/>
      <c r="FN376" s="567"/>
      <c r="FO376" s="567"/>
    </row>
    <row r="377" spans="1:171" s="568" customFormat="1" ht="13.9" customHeight="1">
      <c r="A377" s="566"/>
      <c r="B377" s="566"/>
      <c r="C377" s="566"/>
      <c r="D377" s="569"/>
      <c r="E377" s="570"/>
      <c r="F377" s="571"/>
      <c r="G377" s="571"/>
      <c r="H377" s="571"/>
      <c r="I377" s="571"/>
      <c r="J377" s="571"/>
      <c r="K377" s="572"/>
      <c r="L377" s="569"/>
      <c r="M377" s="569"/>
      <c r="N377" s="569"/>
      <c r="O377" s="569"/>
      <c r="P377" s="566"/>
      <c r="Q377" s="566"/>
      <c r="R377" s="566"/>
      <c r="S377" s="566"/>
      <c r="T377" s="566"/>
      <c r="U377" s="566"/>
      <c r="V377" s="566"/>
      <c r="W377" s="566"/>
      <c r="X377" s="553"/>
      <c r="Y377" s="553"/>
      <c r="Z377" s="553"/>
      <c r="AA377" s="554"/>
      <c r="AB377" s="550"/>
      <c r="AC377" s="550"/>
      <c r="AD377" s="550"/>
      <c r="AE377" s="307"/>
      <c r="AF377" s="307"/>
      <c r="AG377" s="307"/>
      <c r="AH377" s="307"/>
      <c r="AI377" s="307"/>
      <c r="AJ377" s="307"/>
      <c r="AK377" s="307"/>
      <c r="AL377" s="307"/>
      <c r="AM377" s="307"/>
      <c r="AN377" s="307"/>
      <c r="AO377" s="307"/>
      <c r="AP377" s="307"/>
      <c r="AQ377" s="307"/>
      <c r="AR377" s="307"/>
      <c r="AS377" s="307"/>
      <c r="AT377" s="307"/>
      <c r="AU377" s="307"/>
      <c r="AV377" s="307"/>
      <c r="AW377" s="307"/>
      <c r="AX377" s="307"/>
      <c r="AY377" s="307"/>
      <c r="AZ377" s="307"/>
      <c r="BA377" s="307"/>
      <c r="BB377" s="307"/>
      <c r="BC377" s="307"/>
      <c r="BD377" s="307"/>
      <c r="BE377" s="307"/>
      <c r="BF377" s="307"/>
      <c r="BG377" s="307"/>
      <c r="BH377" s="307"/>
      <c r="BI377" s="307"/>
      <c r="BJ377" s="307"/>
      <c r="BK377" s="307"/>
      <c r="BL377" s="307"/>
      <c r="BM377" s="307"/>
      <c r="BN377" s="307"/>
      <c r="BO377" s="307"/>
      <c r="BP377" s="307"/>
      <c r="BQ377" s="307"/>
      <c r="BR377" s="307"/>
      <c r="BS377" s="307"/>
      <c r="BT377" s="307"/>
      <c r="BU377" s="307"/>
      <c r="BV377" s="307"/>
      <c r="BW377" s="307"/>
      <c r="BX377" s="307"/>
      <c r="BY377" s="307"/>
      <c r="BZ377" s="307"/>
      <c r="CA377" s="307"/>
      <c r="CB377" s="307"/>
      <c r="CC377" s="307"/>
      <c r="CD377" s="307"/>
      <c r="CE377" s="307"/>
      <c r="CF377" s="307"/>
      <c r="CG377" s="307"/>
      <c r="CH377" s="307"/>
      <c r="CI377" s="307"/>
      <c r="CJ377" s="307"/>
      <c r="CK377" s="307"/>
      <c r="CL377" s="307"/>
      <c r="CM377" s="307"/>
      <c r="CN377" s="307"/>
      <c r="CO377" s="307"/>
      <c r="CP377" s="307"/>
      <c r="CQ377" s="307"/>
      <c r="CR377" s="307"/>
      <c r="CS377" s="307"/>
      <c r="CT377" s="307"/>
      <c r="CU377" s="307"/>
      <c r="CV377" s="307"/>
      <c r="CW377" s="307"/>
      <c r="CX377" s="307"/>
      <c r="CY377" s="307"/>
      <c r="CZ377" s="307"/>
      <c r="DA377" s="307"/>
      <c r="DB377" s="280"/>
      <c r="DC377" s="280"/>
      <c r="DD377" s="280"/>
      <c r="DE377" s="280"/>
      <c r="DF377" s="280"/>
      <c r="DG377" s="280"/>
      <c r="DH377" s="280"/>
      <c r="DI377" s="280"/>
      <c r="DJ377" s="280"/>
      <c r="DK377" s="280"/>
      <c r="DL377" s="280"/>
      <c r="DM377" s="280"/>
      <c r="DN377" s="280"/>
      <c r="DO377" s="280"/>
      <c r="DP377" s="280"/>
      <c r="DQ377" s="280"/>
      <c r="DR377" s="280"/>
      <c r="DS377" s="280"/>
      <c r="DT377" s="280"/>
      <c r="DU377" s="280"/>
      <c r="DV377" s="280"/>
      <c r="DW377" s="280"/>
      <c r="DX377" s="280"/>
      <c r="DY377" s="280"/>
      <c r="DZ377" s="280"/>
      <c r="EA377" s="280"/>
      <c r="EB377" s="280"/>
      <c r="EC377" s="280"/>
      <c r="ED377" s="280"/>
      <c r="EE377" s="280"/>
      <c r="EF377" s="280"/>
      <c r="EG377" s="280"/>
      <c r="EH377" s="280"/>
      <c r="EI377" s="280"/>
      <c r="EJ377" s="280"/>
      <c r="EK377" s="280"/>
      <c r="EL377" s="280"/>
      <c r="EM377" s="280"/>
      <c r="EN377" s="280"/>
      <c r="EO377" s="280"/>
      <c r="EP377" s="521"/>
      <c r="EQ377" s="521"/>
      <c r="ER377" s="521"/>
      <c r="ES377" s="521"/>
      <c r="ET377" s="521"/>
      <c r="EU377" s="521"/>
      <c r="EV377" s="521"/>
      <c r="EW377" s="521"/>
      <c r="EX377" s="521"/>
      <c r="EY377" s="521"/>
      <c r="EZ377" s="521"/>
      <c r="FA377" s="521"/>
      <c r="FB377" s="521"/>
      <c r="FC377" s="521"/>
      <c r="FD377" s="521"/>
      <c r="FE377" s="521"/>
      <c r="FF377" s="521"/>
      <c r="FG377" s="521"/>
      <c r="FH377" s="567"/>
      <c r="FI377" s="567"/>
      <c r="FJ377" s="567"/>
      <c r="FK377" s="567"/>
      <c r="FL377" s="567"/>
      <c r="FM377" s="567"/>
      <c r="FN377" s="567"/>
      <c r="FO377" s="567"/>
    </row>
    <row r="378" spans="1:171" s="568" customFormat="1" ht="13.9" customHeight="1">
      <c r="A378" s="566"/>
      <c r="B378" s="566"/>
      <c r="C378" s="566"/>
      <c r="D378" s="569"/>
      <c r="E378" s="570"/>
      <c r="F378" s="571"/>
      <c r="G378" s="571"/>
      <c r="H378" s="571"/>
      <c r="I378" s="571"/>
      <c r="J378" s="571"/>
      <c r="K378" s="572"/>
      <c r="L378" s="569"/>
      <c r="M378" s="569"/>
      <c r="N378" s="569"/>
      <c r="O378" s="569"/>
      <c r="P378" s="566"/>
      <c r="Q378" s="566"/>
      <c r="R378" s="566"/>
      <c r="S378" s="566"/>
      <c r="T378" s="566"/>
      <c r="U378" s="566"/>
      <c r="V378" s="566"/>
      <c r="W378" s="566"/>
      <c r="X378" s="553"/>
      <c r="Y378" s="553"/>
      <c r="Z378" s="553"/>
      <c r="AA378" s="554"/>
      <c r="AB378" s="550"/>
      <c r="AC378" s="550"/>
      <c r="AD378" s="550"/>
      <c r="AE378" s="307"/>
      <c r="AF378" s="307"/>
      <c r="AG378" s="307"/>
      <c r="AH378" s="307"/>
      <c r="AI378" s="307"/>
      <c r="AJ378" s="307"/>
      <c r="AK378" s="307"/>
      <c r="AL378" s="307"/>
      <c r="AM378" s="307"/>
      <c r="AN378" s="307"/>
      <c r="AO378" s="307"/>
      <c r="AP378" s="307"/>
      <c r="AQ378" s="307"/>
      <c r="AR378" s="307"/>
      <c r="AS378" s="307"/>
      <c r="AT378" s="307"/>
      <c r="AU378" s="307"/>
      <c r="AV378" s="307"/>
      <c r="AW378" s="307"/>
      <c r="AX378" s="307"/>
      <c r="AY378" s="307"/>
      <c r="AZ378" s="307"/>
      <c r="BA378" s="307"/>
      <c r="BB378" s="307"/>
      <c r="BC378" s="307"/>
      <c r="BD378" s="307"/>
      <c r="BE378" s="307"/>
      <c r="BF378" s="307"/>
      <c r="BG378" s="307"/>
      <c r="BH378" s="307"/>
      <c r="BI378" s="307"/>
      <c r="BJ378" s="307"/>
      <c r="BK378" s="307"/>
      <c r="BL378" s="307"/>
      <c r="BM378" s="307"/>
      <c r="BN378" s="307"/>
      <c r="BO378" s="307"/>
      <c r="BP378" s="307"/>
      <c r="BQ378" s="307"/>
      <c r="BR378" s="307"/>
      <c r="BS378" s="307"/>
      <c r="BT378" s="307"/>
      <c r="BU378" s="307"/>
      <c r="BV378" s="307"/>
      <c r="BW378" s="307"/>
      <c r="BX378" s="307"/>
      <c r="BY378" s="307"/>
      <c r="BZ378" s="307"/>
      <c r="CA378" s="307"/>
      <c r="CB378" s="307"/>
      <c r="CC378" s="307"/>
      <c r="CD378" s="307"/>
      <c r="CE378" s="307"/>
      <c r="CF378" s="307"/>
      <c r="CG378" s="307"/>
      <c r="CH378" s="307"/>
      <c r="CI378" s="307"/>
      <c r="CJ378" s="307"/>
      <c r="CK378" s="307"/>
      <c r="CL378" s="307"/>
      <c r="CM378" s="307"/>
      <c r="CN378" s="307"/>
      <c r="CO378" s="307"/>
      <c r="CP378" s="307"/>
      <c r="CQ378" s="307"/>
      <c r="CR378" s="307"/>
      <c r="CS378" s="307"/>
      <c r="CT378" s="307"/>
      <c r="CU378" s="307"/>
      <c r="CV378" s="307"/>
      <c r="CW378" s="307"/>
      <c r="CX378" s="307"/>
      <c r="CY378" s="307"/>
      <c r="CZ378" s="307"/>
      <c r="DA378" s="307"/>
      <c r="DB378" s="280"/>
      <c r="DC378" s="280"/>
      <c r="DD378" s="280"/>
      <c r="DE378" s="280"/>
      <c r="DF378" s="280"/>
      <c r="DG378" s="280"/>
      <c r="DH378" s="280"/>
      <c r="DI378" s="280"/>
      <c r="DJ378" s="280"/>
      <c r="DK378" s="280"/>
      <c r="DL378" s="280"/>
      <c r="DM378" s="280"/>
      <c r="DN378" s="280"/>
      <c r="DO378" s="280"/>
      <c r="DP378" s="280"/>
      <c r="DQ378" s="280"/>
      <c r="DR378" s="280"/>
      <c r="DS378" s="280"/>
      <c r="DT378" s="280"/>
      <c r="DU378" s="280"/>
      <c r="DV378" s="280"/>
      <c r="DW378" s="280"/>
      <c r="DX378" s="280"/>
      <c r="DY378" s="280"/>
      <c r="DZ378" s="280"/>
      <c r="EA378" s="280"/>
      <c r="EB378" s="280"/>
      <c r="EC378" s="280"/>
      <c r="ED378" s="280"/>
      <c r="EE378" s="280"/>
      <c r="EF378" s="280"/>
      <c r="EG378" s="280"/>
      <c r="EH378" s="280"/>
      <c r="EI378" s="280"/>
      <c r="EJ378" s="280"/>
      <c r="EK378" s="280"/>
      <c r="EL378" s="280"/>
      <c r="EM378" s="280"/>
      <c r="EN378" s="280"/>
      <c r="EO378" s="280"/>
      <c r="EP378" s="521"/>
      <c r="EQ378" s="521"/>
      <c r="ER378" s="521"/>
      <c r="ES378" s="521"/>
      <c r="ET378" s="521"/>
      <c r="EU378" s="521"/>
      <c r="EV378" s="521"/>
      <c r="EW378" s="521"/>
      <c r="EX378" s="521"/>
      <c r="EY378" s="521"/>
      <c r="EZ378" s="521"/>
      <c r="FA378" s="521"/>
      <c r="FB378" s="521"/>
      <c r="FC378" s="521"/>
      <c r="FD378" s="521"/>
      <c r="FE378" s="521"/>
      <c r="FF378" s="521"/>
      <c r="FG378" s="521"/>
      <c r="FH378" s="567"/>
      <c r="FI378" s="567"/>
      <c r="FJ378" s="567"/>
      <c r="FK378" s="567"/>
      <c r="FL378" s="567"/>
      <c r="FM378" s="567"/>
      <c r="FN378" s="567"/>
      <c r="FO378" s="567"/>
    </row>
    <row r="379" spans="1:171" s="568" customFormat="1" ht="13.9" customHeight="1">
      <c r="A379" s="566"/>
      <c r="B379" s="566"/>
      <c r="C379" s="566"/>
      <c r="D379" s="569"/>
      <c r="E379" s="570"/>
      <c r="F379" s="571"/>
      <c r="G379" s="571"/>
      <c r="H379" s="571"/>
      <c r="I379" s="571"/>
      <c r="J379" s="571"/>
      <c r="K379" s="572"/>
      <c r="L379" s="569"/>
      <c r="M379" s="569"/>
      <c r="N379" s="569"/>
      <c r="O379" s="569"/>
      <c r="P379" s="566"/>
      <c r="Q379" s="566"/>
      <c r="R379" s="566"/>
      <c r="S379" s="566"/>
      <c r="T379" s="566"/>
      <c r="U379" s="566"/>
      <c r="V379" s="566"/>
      <c r="W379" s="566"/>
      <c r="X379" s="553"/>
      <c r="Y379" s="553"/>
      <c r="Z379" s="553"/>
      <c r="AA379" s="554"/>
      <c r="AB379" s="550"/>
      <c r="AC379" s="550"/>
      <c r="AD379" s="550"/>
      <c r="AE379" s="307"/>
      <c r="AF379" s="307"/>
      <c r="AG379" s="307"/>
      <c r="AH379" s="307"/>
      <c r="AI379" s="307"/>
      <c r="AJ379" s="307"/>
      <c r="AK379" s="307"/>
      <c r="AL379" s="307"/>
      <c r="AM379" s="307"/>
      <c r="AN379" s="307"/>
      <c r="AO379" s="307"/>
      <c r="AP379" s="307"/>
      <c r="AQ379" s="307"/>
      <c r="AR379" s="307"/>
      <c r="AS379" s="307"/>
      <c r="AT379" s="307"/>
      <c r="AU379" s="307"/>
      <c r="AV379" s="307"/>
      <c r="AW379" s="307"/>
      <c r="AX379" s="307"/>
      <c r="AY379" s="307"/>
      <c r="AZ379" s="307"/>
      <c r="BA379" s="307"/>
      <c r="BB379" s="307"/>
      <c r="BC379" s="307"/>
      <c r="BD379" s="307"/>
      <c r="BE379" s="307"/>
      <c r="BF379" s="307"/>
      <c r="BG379" s="307"/>
      <c r="BH379" s="307"/>
      <c r="BI379" s="307"/>
      <c r="BJ379" s="307"/>
      <c r="BK379" s="307"/>
      <c r="BL379" s="307"/>
      <c r="BM379" s="307"/>
      <c r="BN379" s="307"/>
      <c r="BO379" s="307"/>
      <c r="BP379" s="307"/>
      <c r="BQ379" s="307"/>
      <c r="BR379" s="307"/>
      <c r="BS379" s="307"/>
      <c r="BT379" s="307"/>
      <c r="BU379" s="307"/>
      <c r="BV379" s="307"/>
      <c r="BW379" s="307"/>
      <c r="BX379" s="307"/>
      <c r="BY379" s="307"/>
      <c r="BZ379" s="307"/>
      <c r="CA379" s="307"/>
      <c r="CB379" s="307"/>
      <c r="CC379" s="307"/>
      <c r="CD379" s="307"/>
      <c r="CE379" s="307"/>
      <c r="CF379" s="307"/>
      <c r="CG379" s="307"/>
      <c r="CH379" s="307"/>
      <c r="CI379" s="307"/>
      <c r="CJ379" s="307"/>
      <c r="CK379" s="307"/>
      <c r="CL379" s="307"/>
      <c r="CM379" s="307"/>
      <c r="CN379" s="307"/>
      <c r="CO379" s="307"/>
      <c r="CP379" s="307"/>
      <c r="CQ379" s="307"/>
      <c r="CR379" s="307"/>
      <c r="CS379" s="307"/>
      <c r="CT379" s="307"/>
      <c r="CU379" s="307"/>
      <c r="CV379" s="307"/>
      <c r="CW379" s="307"/>
      <c r="CX379" s="307"/>
      <c r="CY379" s="307"/>
      <c r="CZ379" s="307"/>
      <c r="DA379" s="307"/>
      <c r="DB379" s="280"/>
      <c r="DC379" s="280"/>
      <c r="DD379" s="280"/>
      <c r="DE379" s="280"/>
      <c r="DF379" s="280"/>
      <c r="DG379" s="280"/>
      <c r="DH379" s="280"/>
      <c r="DI379" s="280"/>
      <c r="DJ379" s="280"/>
      <c r="DK379" s="280"/>
      <c r="DL379" s="280"/>
      <c r="DM379" s="280"/>
      <c r="DN379" s="280"/>
      <c r="DO379" s="280"/>
      <c r="DP379" s="280"/>
      <c r="DQ379" s="280"/>
      <c r="DR379" s="280"/>
      <c r="DS379" s="280"/>
      <c r="DT379" s="280"/>
      <c r="DU379" s="280"/>
      <c r="DV379" s="280"/>
      <c r="DW379" s="280"/>
      <c r="DX379" s="280"/>
      <c r="DY379" s="280"/>
      <c r="DZ379" s="280"/>
      <c r="EA379" s="280"/>
      <c r="EB379" s="280"/>
      <c r="EC379" s="280"/>
      <c r="ED379" s="280"/>
      <c r="EE379" s="280"/>
      <c r="EF379" s="280"/>
      <c r="EG379" s="280"/>
      <c r="EH379" s="280"/>
      <c r="EI379" s="280"/>
      <c r="EJ379" s="280"/>
      <c r="EK379" s="280"/>
      <c r="EL379" s="280"/>
      <c r="EM379" s="280"/>
      <c r="EN379" s="280"/>
      <c r="EO379" s="280"/>
      <c r="EP379" s="521"/>
      <c r="EQ379" s="521"/>
      <c r="ER379" s="521"/>
      <c r="ES379" s="521"/>
      <c r="ET379" s="521"/>
      <c r="EU379" s="521"/>
      <c r="EV379" s="521"/>
      <c r="EW379" s="521"/>
      <c r="EX379" s="521"/>
      <c r="EY379" s="521"/>
      <c r="EZ379" s="521"/>
      <c r="FA379" s="521"/>
      <c r="FB379" s="521"/>
      <c r="FC379" s="521"/>
      <c r="FD379" s="521"/>
      <c r="FE379" s="521"/>
      <c r="FF379" s="521"/>
      <c r="FG379" s="521"/>
      <c r="FH379" s="567"/>
      <c r="FI379" s="567"/>
      <c r="FJ379" s="567"/>
      <c r="FK379" s="567"/>
      <c r="FL379" s="567"/>
      <c r="FM379" s="567"/>
      <c r="FN379" s="567"/>
      <c r="FO379" s="567"/>
    </row>
    <row r="380" spans="1:171" s="568" customFormat="1" ht="13.9" customHeight="1">
      <c r="A380" s="566"/>
      <c r="B380" s="566"/>
      <c r="C380" s="566"/>
      <c r="D380" s="569"/>
      <c r="E380" s="570"/>
      <c r="F380" s="571"/>
      <c r="G380" s="571"/>
      <c r="H380" s="571"/>
      <c r="I380" s="571"/>
      <c r="J380" s="571"/>
      <c r="K380" s="572"/>
      <c r="L380" s="569"/>
      <c r="M380" s="569"/>
      <c r="N380" s="569"/>
      <c r="O380" s="569"/>
      <c r="P380" s="566"/>
      <c r="Q380" s="566"/>
      <c r="R380" s="566"/>
      <c r="S380" s="566"/>
      <c r="T380" s="566"/>
      <c r="U380" s="566"/>
      <c r="V380" s="566"/>
      <c r="W380" s="566"/>
      <c r="X380" s="553"/>
      <c r="Y380" s="553"/>
      <c r="Z380" s="553"/>
      <c r="AA380" s="554"/>
      <c r="AB380" s="550"/>
      <c r="AC380" s="550"/>
      <c r="AD380" s="550"/>
      <c r="AE380" s="307"/>
      <c r="AF380" s="307"/>
      <c r="AG380" s="307"/>
      <c r="AH380" s="307"/>
      <c r="AI380" s="307"/>
      <c r="AJ380" s="307"/>
      <c r="AK380" s="307"/>
      <c r="AL380" s="307"/>
      <c r="AM380" s="307"/>
      <c r="AN380" s="307"/>
      <c r="AO380" s="307"/>
      <c r="AP380" s="307"/>
      <c r="AQ380" s="307"/>
      <c r="AR380" s="307"/>
      <c r="AS380" s="307"/>
      <c r="AT380" s="307"/>
      <c r="AU380" s="307"/>
      <c r="AV380" s="307"/>
      <c r="AW380" s="307"/>
      <c r="AX380" s="307"/>
      <c r="AY380" s="307"/>
      <c r="AZ380" s="307"/>
      <c r="BA380" s="307"/>
      <c r="BB380" s="307"/>
      <c r="BC380" s="307"/>
      <c r="BD380" s="307"/>
      <c r="BE380" s="307"/>
      <c r="BF380" s="307"/>
      <c r="BG380" s="307"/>
      <c r="BH380" s="307"/>
      <c r="BI380" s="307"/>
      <c r="BJ380" s="307"/>
      <c r="BK380" s="307"/>
      <c r="BL380" s="307"/>
      <c r="BM380" s="307"/>
      <c r="BN380" s="307"/>
      <c r="BO380" s="307"/>
      <c r="BP380" s="307"/>
      <c r="BQ380" s="307"/>
      <c r="BR380" s="307"/>
      <c r="BS380" s="307"/>
      <c r="BT380" s="307"/>
      <c r="BU380" s="307"/>
      <c r="BV380" s="307"/>
      <c r="BW380" s="307"/>
      <c r="BX380" s="307"/>
      <c r="BY380" s="307"/>
      <c r="BZ380" s="307"/>
      <c r="CA380" s="307"/>
      <c r="CB380" s="307"/>
      <c r="CC380" s="307"/>
      <c r="CD380" s="307"/>
      <c r="CE380" s="307"/>
      <c r="CF380" s="307"/>
      <c r="CG380" s="307"/>
      <c r="CH380" s="307"/>
      <c r="CI380" s="307"/>
      <c r="CJ380" s="307"/>
      <c r="CK380" s="307"/>
      <c r="CL380" s="307"/>
      <c r="CM380" s="307"/>
      <c r="CN380" s="307"/>
      <c r="CO380" s="307"/>
      <c r="CP380" s="307"/>
      <c r="CQ380" s="307"/>
      <c r="CR380" s="307"/>
      <c r="CS380" s="307"/>
      <c r="CT380" s="307"/>
      <c r="CU380" s="307"/>
      <c r="CV380" s="307"/>
      <c r="CW380" s="307"/>
      <c r="CX380" s="307"/>
      <c r="CY380" s="307"/>
      <c r="CZ380" s="307"/>
      <c r="DA380" s="307"/>
      <c r="DB380" s="280"/>
      <c r="DC380" s="280"/>
      <c r="DD380" s="280"/>
      <c r="DE380" s="280"/>
      <c r="DF380" s="280"/>
      <c r="DG380" s="280"/>
      <c r="DH380" s="280"/>
      <c r="DI380" s="280"/>
      <c r="DJ380" s="280"/>
      <c r="DK380" s="280"/>
      <c r="DL380" s="280"/>
      <c r="DM380" s="280"/>
      <c r="DN380" s="280"/>
      <c r="DO380" s="280"/>
      <c r="DP380" s="280"/>
      <c r="DQ380" s="280"/>
      <c r="DR380" s="280"/>
      <c r="DS380" s="280"/>
      <c r="DT380" s="280"/>
      <c r="DU380" s="280"/>
      <c r="DV380" s="280"/>
      <c r="DW380" s="280"/>
      <c r="DX380" s="280"/>
      <c r="DY380" s="280"/>
      <c r="DZ380" s="280"/>
      <c r="EA380" s="280"/>
      <c r="EB380" s="280"/>
      <c r="EC380" s="280"/>
      <c r="ED380" s="280"/>
      <c r="EE380" s="280"/>
      <c r="EF380" s="280"/>
      <c r="EG380" s="280"/>
      <c r="EH380" s="280"/>
      <c r="EI380" s="280"/>
      <c r="EJ380" s="280"/>
      <c r="EK380" s="280"/>
      <c r="EL380" s="280"/>
      <c r="EM380" s="280"/>
      <c r="EN380" s="280"/>
      <c r="EO380" s="280"/>
      <c r="EP380" s="521"/>
      <c r="EQ380" s="521"/>
      <c r="ER380" s="521"/>
      <c r="ES380" s="521"/>
      <c r="ET380" s="521"/>
      <c r="EU380" s="521"/>
      <c r="EV380" s="521"/>
      <c r="EW380" s="521"/>
      <c r="EX380" s="521"/>
      <c r="EY380" s="521"/>
      <c r="EZ380" s="521"/>
      <c r="FA380" s="521"/>
      <c r="FB380" s="521"/>
      <c r="FC380" s="521"/>
      <c r="FD380" s="521"/>
      <c r="FE380" s="521"/>
      <c r="FF380" s="521"/>
      <c r="FG380" s="521"/>
      <c r="FH380" s="567"/>
      <c r="FI380" s="567"/>
      <c r="FJ380" s="567"/>
      <c r="FK380" s="567"/>
      <c r="FL380" s="567"/>
      <c r="FM380" s="567"/>
      <c r="FN380" s="567"/>
      <c r="FO380" s="567"/>
    </row>
    <row r="381" spans="1:171" s="568" customFormat="1" ht="13.9" customHeight="1">
      <c r="A381" s="566"/>
      <c r="B381" s="566"/>
      <c r="C381" s="566"/>
      <c r="D381" s="569"/>
      <c r="E381" s="570"/>
      <c r="F381" s="571"/>
      <c r="G381" s="571"/>
      <c r="H381" s="571"/>
      <c r="I381" s="571"/>
      <c r="J381" s="571"/>
      <c r="K381" s="572"/>
      <c r="L381" s="569"/>
      <c r="M381" s="569"/>
      <c r="N381" s="569"/>
      <c r="O381" s="569"/>
      <c r="P381" s="566"/>
      <c r="Q381" s="566"/>
      <c r="R381" s="566"/>
      <c r="S381" s="566"/>
      <c r="T381" s="566"/>
      <c r="U381" s="566"/>
      <c r="V381" s="566"/>
      <c r="W381" s="566"/>
      <c r="X381" s="553"/>
      <c r="Y381" s="553"/>
      <c r="Z381" s="553"/>
      <c r="AA381" s="554"/>
      <c r="AB381" s="550"/>
      <c r="AC381" s="550"/>
      <c r="AD381" s="550"/>
      <c r="AE381" s="307"/>
      <c r="AF381" s="307"/>
      <c r="AG381" s="307"/>
      <c r="AH381" s="307"/>
      <c r="AI381" s="307"/>
      <c r="AJ381" s="307"/>
      <c r="AK381" s="307"/>
      <c r="AL381" s="307"/>
      <c r="AM381" s="307"/>
      <c r="AN381" s="307"/>
      <c r="AO381" s="307"/>
      <c r="AP381" s="307"/>
      <c r="AQ381" s="307"/>
      <c r="AR381" s="307"/>
      <c r="AS381" s="307"/>
      <c r="AT381" s="307"/>
      <c r="AU381" s="307"/>
      <c r="AV381" s="307"/>
      <c r="AW381" s="307"/>
      <c r="AX381" s="307"/>
      <c r="AY381" s="307"/>
      <c r="AZ381" s="307"/>
      <c r="BA381" s="307"/>
      <c r="BB381" s="307"/>
      <c r="BC381" s="307"/>
      <c r="BD381" s="307"/>
      <c r="BE381" s="307"/>
      <c r="BF381" s="307"/>
      <c r="BG381" s="307"/>
      <c r="BH381" s="307"/>
      <c r="BI381" s="307"/>
      <c r="BJ381" s="307"/>
      <c r="BK381" s="307"/>
      <c r="BL381" s="307"/>
      <c r="BM381" s="307"/>
      <c r="BN381" s="307"/>
      <c r="BO381" s="307"/>
      <c r="BP381" s="307"/>
      <c r="BQ381" s="307"/>
      <c r="BR381" s="307"/>
      <c r="BS381" s="307"/>
      <c r="BT381" s="307"/>
      <c r="BU381" s="307"/>
      <c r="BV381" s="307"/>
      <c r="BW381" s="307"/>
      <c r="BX381" s="307"/>
      <c r="BY381" s="307"/>
      <c r="BZ381" s="307"/>
      <c r="CA381" s="307"/>
      <c r="CB381" s="307"/>
      <c r="CC381" s="307"/>
      <c r="CD381" s="307"/>
      <c r="CE381" s="307"/>
      <c r="CF381" s="307"/>
      <c r="CG381" s="307"/>
      <c r="CH381" s="307"/>
      <c r="CI381" s="307"/>
      <c r="CJ381" s="307"/>
      <c r="CK381" s="307"/>
      <c r="CL381" s="307"/>
      <c r="CM381" s="307"/>
      <c r="CN381" s="307"/>
      <c r="CO381" s="307"/>
      <c r="CP381" s="307"/>
      <c r="CQ381" s="307"/>
      <c r="CR381" s="307"/>
      <c r="CS381" s="307"/>
      <c r="CT381" s="307"/>
      <c r="CU381" s="307"/>
      <c r="CV381" s="307"/>
      <c r="CW381" s="307"/>
      <c r="CX381" s="307"/>
      <c r="CY381" s="307"/>
      <c r="CZ381" s="307"/>
      <c r="DA381" s="307"/>
      <c r="DB381" s="280"/>
      <c r="DC381" s="280"/>
      <c r="DD381" s="280"/>
      <c r="DE381" s="280"/>
      <c r="DF381" s="280"/>
      <c r="DG381" s="280"/>
      <c r="DH381" s="280"/>
      <c r="DI381" s="280"/>
      <c r="DJ381" s="280"/>
      <c r="DK381" s="280"/>
      <c r="DL381" s="280"/>
      <c r="DM381" s="280"/>
      <c r="DN381" s="280"/>
      <c r="DO381" s="280"/>
      <c r="DP381" s="280"/>
      <c r="DQ381" s="280"/>
      <c r="DR381" s="280"/>
      <c r="DS381" s="280"/>
      <c r="DT381" s="280"/>
      <c r="DU381" s="280"/>
      <c r="DV381" s="280"/>
      <c r="DW381" s="280"/>
      <c r="DX381" s="280"/>
      <c r="DY381" s="280"/>
      <c r="DZ381" s="280"/>
      <c r="EA381" s="280"/>
      <c r="EB381" s="280"/>
      <c r="EC381" s="280"/>
      <c r="ED381" s="280"/>
      <c r="EE381" s="280"/>
      <c r="EF381" s="280"/>
      <c r="EG381" s="280"/>
      <c r="EH381" s="280"/>
      <c r="EI381" s="280"/>
      <c r="EJ381" s="280"/>
      <c r="EK381" s="280"/>
      <c r="EL381" s="280"/>
      <c r="EM381" s="280"/>
      <c r="EN381" s="280"/>
      <c r="EO381" s="280"/>
      <c r="EP381" s="521"/>
      <c r="EQ381" s="521"/>
      <c r="ER381" s="521"/>
      <c r="ES381" s="521"/>
      <c r="ET381" s="521"/>
      <c r="EU381" s="521"/>
      <c r="EV381" s="521"/>
      <c r="EW381" s="521"/>
      <c r="EX381" s="521"/>
      <c r="EY381" s="521"/>
      <c r="EZ381" s="521"/>
      <c r="FA381" s="521"/>
      <c r="FB381" s="521"/>
      <c r="FC381" s="521"/>
      <c r="FD381" s="521"/>
      <c r="FE381" s="521"/>
      <c r="FF381" s="521"/>
      <c r="FG381" s="521"/>
      <c r="FH381" s="567"/>
      <c r="FI381" s="567"/>
      <c r="FJ381" s="567"/>
      <c r="FK381" s="567"/>
      <c r="FL381" s="567"/>
      <c r="FM381" s="567"/>
      <c r="FN381" s="567"/>
      <c r="FO381" s="567"/>
    </row>
    <row r="382" spans="1:171" s="568" customFormat="1" ht="13.9" customHeight="1">
      <c r="A382" s="566"/>
      <c r="B382" s="566"/>
      <c r="C382" s="566"/>
      <c r="D382" s="569"/>
      <c r="E382" s="570"/>
      <c r="F382" s="571"/>
      <c r="G382" s="571"/>
      <c r="H382" s="571"/>
      <c r="I382" s="571"/>
      <c r="J382" s="571"/>
      <c r="K382" s="572"/>
      <c r="L382" s="569"/>
      <c r="M382" s="569"/>
      <c r="N382" s="569"/>
      <c r="O382" s="569"/>
      <c r="P382" s="566"/>
      <c r="Q382" s="566"/>
      <c r="R382" s="566"/>
      <c r="S382" s="566"/>
      <c r="T382" s="566"/>
      <c r="U382" s="566"/>
      <c r="V382" s="566"/>
      <c r="W382" s="566"/>
      <c r="X382" s="553"/>
      <c r="Y382" s="553"/>
      <c r="Z382" s="553"/>
      <c r="AA382" s="554"/>
      <c r="AB382" s="550"/>
      <c r="AC382" s="550"/>
      <c r="AD382" s="550"/>
      <c r="AE382" s="307"/>
      <c r="AF382" s="307"/>
      <c r="AG382" s="307"/>
      <c r="AH382" s="307"/>
      <c r="AI382" s="307"/>
      <c r="AJ382" s="307"/>
      <c r="AK382" s="307"/>
      <c r="AL382" s="307"/>
      <c r="AM382" s="307"/>
      <c r="AN382" s="307"/>
      <c r="AO382" s="307"/>
      <c r="AP382" s="307"/>
      <c r="AQ382" s="307"/>
      <c r="AR382" s="307"/>
      <c r="AS382" s="307"/>
      <c r="AT382" s="307"/>
      <c r="AU382" s="307"/>
      <c r="AV382" s="307"/>
      <c r="AW382" s="307"/>
      <c r="AX382" s="307"/>
      <c r="AY382" s="307"/>
      <c r="AZ382" s="307"/>
      <c r="BA382" s="307"/>
      <c r="BB382" s="307"/>
      <c r="BC382" s="307"/>
      <c r="BD382" s="307"/>
      <c r="BE382" s="307"/>
      <c r="BF382" s="307"/>
      <c r="BG382" s="307"/>
      <c r="BH382" s="307"/>
      <c r="BI382" s="307"/>
      <c r="BJ382" s="307"/>
      <c r="BK382" s="307"/>
      <c r="BL382" s="307"/>
      <c r="BM382" s="307"/>
      <c r="BN382" s="307"/>
      <c r="BO382" s="307"/>
      <c r="BP382" s="307"/>
      <c r="BQ382" s="307"/>
      <c r="BR382" s="307"/>
      <c r="BS382" s="307"/>
      <c r="BT382" s="307"/>
      <c r="BU382" s="307"/>
      <c r="BV382" s="307"/>
      <c r="BW382" s="307"/>
      <c r="BX382" s="307"/>
      <c r="BY382" s="307"/>
      <c r="BZ382" s="307"/>
      <c r="CA382" s="307"/>
      <c r="CB382" s="307"/>
      <c r="CC382" s="307"/>
      <c r="CD382" s="307"/>
      <c r="CE382" s="307"/>
      <c r="CF382" s="307"/>
      <c r="CG382" s="307"/>
      <c r="CH382" s="307"/>
      <c r="CI382" s="307"/>
      <c r="CJ382" s="307"/>
      <c r="CK382" s="307"/>
      <c r="CL382" s="307"/>
      <c r="CM382" s="307"/>
      <c r="CN382" s="307"/>
      <c r="CO382" s="307"/>
      <c r="CP382" s="307"/>
      <c r="CQ382" s="307"/>
      <c r="CR382" s="307"/>
      <c r="CS382" s="307"/>
      <c r="CT382" s="307"/>
      <c r="CU382" s="307"/>
      <c r="CV382" s="307"/>
      <c r="CW382" s="307"/>
      <c r="CX382" s="307"/>
      <c r="CY382" s="307"/>
      <c r="CZ382" s="307"/>
      <c r="DA382" s="307"/>
      <c r="DB382" s="280"/>
      <c r="DC382" s="280"/>
      <c r="DD382" s="280"/>
      <c r="DE382" s="280"/>
      <c r="DF382" s="280"/>
      <c r="DG382" s="280"/>
      <c r="DH382" s="280"/>
      <c r="DI382" s="280"/>
      <c r="DJ382" s="280"/>
      <c r="DK382" s="280"/>
      <c r="DL382" s="280"/>
      <c r="DM382" s="280"/>
      <c r="DN382" s="280"/>
      <c r="DO382" s="280"/>
      <c r="DP382" s="280"/>
      <c r="DQ382" s="280"/>
      <c r="DR382" s="280"/>
      <c r="DS382" s="280"/>
      <c r="DT382" s="280"/>
      <c r="DU382" s="280"/>
      <c r="DV382" s="280"/>
      <c r="DW382" s="280"/>
      <c r="DX382" s="280"/>
      <c r="DY382" s="280"/>
      <c r="DZ382" s="280"/>
      <c r="EA382" s="280"/>
      <c r="EB382" s="280"/>
      <c r="EC382" s="280"/>
      <c r="ED382" s="280"/>
      <c r="EE382" s="280"/>
      <c r="EF382" s="280"/>
      <c r="EG382" s="280"/>
      <c r="EH382" s="280"/>
      <c r="EI382" s="280"/>
      <c r="EJ382" s="280"/>
      <c r="EK382" s="280"/>
      <c r="EL382" s="280"/>
      <c r="EM382" s="280"/>
      <c r="EN382" s="280"/>
      <c r="EO382" s="280"/>
      <c r="EP382" s="521"/>
      <c r="EQ382" s="521"/>
      <c r="ER382" s="521"/>
      <c r="ES382" s="521"/>
      <c r="ET382" s="521"/>
      <c r="EU382" s="521"/>
      <c r="EV382" s="521"/>
      <c r="EW382" s="521"/>
      <c r="EX382" s="521"/>
      <c r="EY382" s="521"/>
      <c r="EZ382" s="521"/>
      <c r="FA382" s="521"/>
      <c r="FB382" s="521"/>
      <c r="FC382" s="521"/>
      <c r="FD382" s="521"/>
      <c r="FE382" s="521"/>
      <c r="FF382" s="521"/>
      <c r="FG382" s="521"/>
      <c r="FH382" s="567"/>
      <c r="FI382" s="567"/>
      <c r="FJ382" s="567"/>
      <c r="FK382" s="567"/>
      <c r="FL382" s="567"/>
      <c r="FM382" s="567"/>
      <c r="FN382" s="567"/>
      <c r="FO382" s="567"/>
    </row>
    <row r="383" spans="1:171" s="568" customFormat="1" ht="13.9" customHeight="1">
      <c r="A383" s="566"/>
      <c r="B383" s="566"/>
      <c r="C383" s="566"/>
      <c r="D383" s="569"/>
      <c r="E383" s="570"/>
      <c r="F383" s="571"/>
      <c r="G383" s="571"/>
      <c r="H383" s="571"/>
      <c r="I383" s="571"/>
      <c r="J383" s="571"/>
      <c r="K383" s="572"/>
      <c r="L383" s="569"/>
      <c r="M383" s="569"/>
      <c r="N383" s="569"/>
      <c r="O383" s="569"/>
      <c r="P383" s="566"/>
      <c r="Q383" s="566"/>
      <c r="R383" s="566"/>
      <c r="S383" s="566"/>
      <c r="T383" s="566"/>
      <c r="U383" s="566"/>
      <c r="V383" s="566"/>
      <c r="W383" s="566"/>
      <c r="X383" s="553"/>
      <c r="Y383" s="553"/>
      <c r="Z383" s="553"/>
      <c r="AA383" s="554"/>
      <c r="AB383" s="550"/>
      <c r="AC383" s="550"/>
      <c r="AD383" s="550"/>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7"/>
      <c r="BR383" s="307"/>
      <c r="BS383" s="307"/>
      <c r="BT383" s="307"/>
      <c r="BU383" s="307"/>
      <c r="BV383" s="307"/>
      <c r="BW383" s="307"/>
      <c r="BX383" s="307"/>
      <c r="BY383" s="307"/>
      <c r="BZ383" s="307"/>
      <c r="CA383" s="307"/>
      <c r="CB383" s="307"/>
      <c r="CC383" s="307"/>
      <c r="CD383" s="307"/>
      <c r="CE383" s="307"/>
      <c r="CF383" s="307"/>
      <c r="CG383" s="307"/>
      <c r="CH383" s="307"/>
      <c r="CI383" s="307"/>
      <c r="CJ383" s="307"/>
      <c r="CK383" s="307"/>
      <c r="CL383" s="307"/>
      <c r="CM383" s="307"/>
      <c r="CN383" s="307"/>
      <c r="CO383" s="307"/>
      <c r="CP383" s="307"/>
      <c r="CQ383" s="307"/>
      <c r="CR383" s="307"/>
      <c r="CS383" s="307"/>
      <c r="CT383" s="307"/>
      <c r="CU383" s="307"/>
      <c r="CV383" s="307"/>
      <c r="CW383" s="307"/>
      <c r="CX383" s="307"/>
      <c r="CY383" s="307"/>
      <c r="CZ383" s="307"/>
      <c r="DA383" s="307"/>
      <c r="DB383" s="280"/>
      <c r="DC383" s="280"/>
      <c r="DD383" s="280"/>
      <c r="DE383" s="280"/>
      <c r="DF383" s="280"/>
      <c r="DG383" s="280"/>
      <c r="DH383" s="280"/>
      <c r="DI383" s="280"/>
      <c r="DJ383" s="280"/>
      <c r="DK383" s="280"/>
      <c r="DL383" s="280"/>
      <c r="DM383" s="280"/>
      <c r="DN383" s="280"/>
      <c r="DO383" s="280"/>
      <c r="DP383" s="280"/>
      <c r="DQ383" s="280"/>
      <c r="DR383" s="280"/>
      <c r="DS383" s="280"/>
      <c r="DT383" s="280"/>
      <c r="DU383" s="280"/>
      <c r="DV383" s="280"/>
      <c r="DW383" s="280"/>
      <c r="DX383" s="280"/>
      <c r="DY383" s="280"/>
      <c r="DZ383" s="280"/>
      <c r="EA383" s="280"/>
      <c r="EB383" s="280"/>
      <c r="EC383" s="280"/>
      <c r="ED383" s="280"/>
      <c r="EE383" s="280"/>
      <c r="EF383" s="280"/>
      <c r="EG383" s="280"/>
      <c r="EH383" s="280"/>
      <c r="EI383" s="280"/>
      <c r="EJ383" s="280"/>
      <c r="EK383" s="280"/>
      <c r="EL383" s="280"/>
      <c r="EM383" s="280"/>
      <c r="EN383" s="280"/>
      <c r="EO383" s="280"/>
      <c r="EP383" s="521"/>
      <c r="EQ383" s="521"/>
      <c r="ER383" s="521"/>
      <c r="ES383" s="521"/>
      <c r="ET383" s="521"/>
      <c r="EU383" s="521"/>
      <c r="EV383" s="521"/>
      <c r="EW383" s="521"/>
      <c r="EX383" s="521"/>
      <c r="EY383" s="521"/>
      <c r="EZ383" s="521"/>
      <c r="FA383" s="521"/>
      <c r="FB383" s="521"/>
      <c r="FC383" s="521"/>
      <c r="FD383" s="521"/>
      <c r="FE383" s="521"/>
      <c r="FF383" s="521"/>
      <c r="FG383" s="521"/>
      <c r="FH383" s="567"/>
      <c r="FI383" s="567"/>
      <c r="FJ383" s="567"/>
      <c r="FK383" s="567"/>
      <c r="FL383" s="567"/>
      <c r="FM383" s="567"/>
      <c r="FN383" s="567"/>
      <c r="FO383" s="567"/>
    </row>
    <row r="384" spans="1:171" s="568" customFormat="1" ht="13.9" customHeight="1">
      <c r="A384" s="566"/>
      <c r="B384" s="566"/>
      <c r="C384" s="566"/>
      <c r="D384" s="569"/>
      <c r="E384" s="570"/>
      <c r="F384" s="571"/>
      <c r="G384" s="571"/>
      <c r="H384" s="571"/>
      <c r="I384" s="571"/>
      <c r="J384" s="571"/>
      <c r="K384" s="572"/>
      <c r="L384" s="569"/>
      <c r="M384" s="569"/>
      <c r="N384" s="569"/>
      <c r="O384" s="569"/>
      <c r="P384" s="566"/>
      <c r="Q384" s="566"/>
      <c r="R384" s="566"/>
      <c r="S384" s="566"/>
      <c r="T384" s="566"/>
      <c r="U384" s="566"/>
      <c r="V384" s="566"/>
      <c r="W384" s="566"/>
      <c r="X384" s="553"/>
      <c r="Y384" s="553"/>
      <c r="Z384" s="553"/>
      <c r="AA384" s="554"/>
      <c r="AB384" s="550"/>
      <c r="AC384" s="550"/>
      <c r="AD384" s="550"/>
      <c r="AE384" s="307"/>
      <c r="AF384" s="307"/>
      <c r="AG384" s="307"/>
      <c r="AH384" s="307"/>
      <c r="AI384" s="307"/>
      <c r="AJ384" s="307"/>
      <c r="AK384" s="307"/>
      <c r="AL384" s="307"/>
      <c r="AM384" s="307"/>
      <c r="AN384" s="307"/>
      <c r="AO384" s="307"/>
      <c r="AP384" s="307"/>
      <c r="AQ384" s="307"/>
      <c r="AR384" s="307"/>
      <c r="AS384" s="307"/>
      <c r="AT384" s="307"/>
      <c r="AU384" s="307"/>
      <c r="AV384" s="307"/>
      <c r="AW384" s="307"/>
      <c r="AX384" s="307"/>
      <c r="AY384" s="307"/>
      <c r="AZ384" s="307"/>
      <c r="BA384" s="307"/>
      <c r="BB384" s="307"/>
      <c r="BC384" s="307"/>
      <c r="BD384" s="307"/>
      <c r="BE384" s="307"/>
      <c r="BF384" s="307"/>
      <c r="BG384" s="307"/>
      <c r="BH384" s="307"/>
      <c r="BI384" s="307"/>
      <c r="BJ384" s="307"/>
      <c r="BK384" s="307"/>
      <c r="BL384" s="307"/>
      <c r="BM384" s="307"/>
      <c r="BN384" s="307"/>
      <c r="BO384" s="307"/>
      <c r="BP384" s="307"/>
      <c r="BQ384" s="307"/>
      <c r="BR384" s="307"/>
      <c r="BS384" s="307"/>
      <c r="BT384" s="307"/>
      <c r="BU384" s="307"/>
      <c r="BV384" s="307"/>
      <c r="BW384" s="307"/>
      <c r="BX384" s="307"/>
      <c r="BY384" s="307"/>
      <c r="BZ384" s="307"/>
      <c r="CA384" s="307"/>
      <c r="CB384" s="307"/>
      <c r="CC384" s="307"/>
      <c r="CD384" s="307"/>
      <c r="CE384" s="307"/>
      <c r="CF384" s="307"/>
      <c r="CG384" s="307"/>
      <c r="CH384" s="307"/>
      <c r="CI384" s="307"/>
      <c r="CJ384" s="307"/>
      <c r="CK384" s="307"/>
      <c r="CL384" s="307"/>
      <c r="CM384" s="307"/>
      <c r="CN384" s="307"/>
      <c r="CO384" s="307"/>
      <c r="CP384" s="307"/>
      <c r="CQ384" s="307"/>
      <c r="CR384" s="307"/>
      <c r="CS384" s="307"/>
      <c r="CT384" s="307"/>
      <c r="CU384" s="307"/>
      <c r="CV384" s="307"/>
      <c r="CW384" s="307"/>
      <c r="CX384" s="307"/>
      <c r="CY384" s="307"/>
      <c r="CZ384" s="307"/>
      <c r="DA384" s="307"/>
      <c r="DB384" s="280"/>
      <c r="DC384" s="280"/>
      <c r="DD384" s="280"/>
      <c r="DE384" s="280"/>
      <c r="DF384" s="280"/>
      <c r="DG384" s="280"/>
      <c r="DH384" s="280"/>
      <c r="DI384" s="280"/>
      <c r="DJ384" s="280"/>
      <c r="DK384" s="280"/>
      <c r="DL384" s="280"/>
      <c r="DM384" s="280"/>
      <c r="DN384" s="280"/>
      <c r="DO384" s="280"/>
      <c r="DP384" s="280"/>
      <c r="DQ384" s="280"/>
      <c r="DR384" s="280"/>
      <c r="DS384" s="280"/>
      <c r="DT384" s="280"/>
      <c r="DU384" s="280"/>
      <c r="DV384" s="280"/>
      <c r="DW384" s="280"/>
      <c r="DX384" s="280"/>
      <c r="DY384" s="280"/>
      <c r="DZ384" s="280"/>
      <c r="EA384" s="280"/>
      <c r="EB384" s="280"/>
      <c r="EC384" s="280"/>
      <c r="ED384" s="280"/>
      <c r="EE384" s="280"/>
      <c r="EF384" s="280"/>
      <c r="EG384" s="280"/>
      <c r="EH384" s="280"/>
      <c r="EI384" s="280"/>
      <c r="EJ384" s="280"/>
      <c r="EK384" s="280"/>
      <c r="EL384" s="280"/>
      <c r="EM384" s="280"/>
      <c r="EN384" s="280"/>
      <c r="EO384" s="280"/>
      <c r="EP384" s="521"/>
      <c r="EQ384" s="521"/>
      <c r="ER384" s="521"/>
      <c r="ES384" s="521"/>
      <c r="ET384" s="521"/>
      <c r="EU384" s="521"/>
      <c r="EV384" s="521"/>
      <c r="EW384" s="521"/>
      <c r="EX384" s="521"/>
      <c r="EY384" s="521"/>
      <c r="EZ384" s="521"/>
      <c r="FA384" s="521"/>
      <c r="FB384" s="521"/>
      <c r="FC384" s="521"/>
      <c r="FD384" s="521"/>
      <c r="FE384" s="521"/>
      <c r="FF384" s="521"/>
      <c r="FG384" s="521"/>
      <c r="FH384" s="567"/>
      <c r="FI384" s="567"/>
      <c r="FJ384" s="567"/>
      <c r="FK384" s="567"/>
      <c r="FL384" s="567"/>
      <c r="FM384" s="567"/>
      <c r="FN384" s="567"/>
      <c r="FO384" s="567"/>
    </row>
    <row r="385" spans="1:171" s="568" customFormat="1" ht="13.9" customHeight="1">
      <c r="A385" s="566"/>
      <c r="B385" s="566"/>
      <c r="C385" s="566"/>
      <c r="D385" s="569"/>
      <c r="E385" s="570"/>
      <c r="F385" s="571"/>
      <c r="G385" s="571"/>
      <c r="H385" s="571"/>
      <c r="I385" s="571"/>
      <c r="J385" s="571"/>
      <c r="K385" s="572"/>
      <c r="L385" s="569"/>
      <c r="M385" s="569"/>
      <c r="N385" s="569"/>
      <c r="O385" s="569"/>
      <c r="P385" s="566"/>
      <c r="Q385" s="566"/>
      <c r="R385" s="566"/>
      <c r="S385" s="566"/>
      <c r="T385" s="566"/>
      <c r="U385" s="566"/>
      <c r="V385" s="566"/>
      <c r="W385" s="566"/>
      <c r="X385" s="553"/>
      <c r="Y385" s="553"/>
      <c r="Z385" s="553"/>
      <c r="AA385" s="554"/>
      <c r="AB385" s="550"/>
      <c r="AC385" s="550"/>
      <c r="AD385" s="550"/>
      <c r="AE385" s="307"/>
      <c r="AF385" s="307"/>
      <c r="AG385" s="307"/>
      <c r="AH385" s="307"/>
      <c r="AI385" s="307"/>
      <c r="AJ385" s="307"/>
      <c r="AK385" s="307"/>
      <c r="AL385" s="307"/>
      <c r="AM385" s="307"/>
      <c r="AN385" s="307"/>
      <c r="AO385" s="307"/>
      <c r="AP385" s="307"/>
      <c r="AQ385" s="307"/>
      <c r="AR385" s="307"/>
      <c r="AS385" s="307"/>
      <c r="AT385" s="307"/>
      <c r="AU385" s="307"/>
      <c r="AV385" s="307"/>
      <c r="AW385" s="307"/>
      <c r="AX385" s="307"/>
      <c r="AY385" s="307"/>
      <c r="AZ385" s="307"/>
      <c r="BA385" s="307"/>
      <c r="BB385" s="307"/>
      <c r="BC385" s="307"/>
      <c r="BD385" s="307"/>
      <c r="BE385" s="307"/>
      <c r="BF385" s="307"/>
      <c r="BG385" s="307"/>
      <c r="BH385" s="307"/>
      <c r="BI385" s="307"/>
      <c r="BJ385" s="307"/>
      <c r="BK385" s="307"/>
      <c r="BL385" s="307"/>
      <c r="BM385" s="307"/>
      <c r="BN385" s="307"/>
      <c r="BO385" s="307"/>
      <c r="BP385" s="307"/>
      <c r="BQ385" s="307"/>
      <c r="BR385" s="307"/>
      <c r="BS385" s="307"/>
      <c r="BT385" s="307"/>
      <c r="BU385" s="307"/>
      <c r="BV385" s="307"/>
      <c r="BW385" s="307"/>
      <c r="BX385" s="307"/>
      <c r="BY385" s="307"/>
      <c r="BZ385" s="307"/>
      <c r="CA385" s="307"/>
      <c r="CB385" s="307"/>
      <c r="CC385" s="307"/>
      <c r="CD385" s="307"/>
      <c r="CE385" s="307"/>
      <c r="CF385" s="307"/>
      <c r="CG385" s="307"/>
      <c r="CH385" s="307"/>
      <c r="CI385" s="307"/>
      <c r="CJ385" s="307"/>
      <c r="CK385" s="307"/>
      <c r="CL385" s="307"/>
      <c r="CM385" s="307"/>
      <c r="CN385" s="307"/>
      <c r="CO385" s="307"/>
      <c r="CP385" s="307"/>
      <c r="CQ385" s="307"/>
      <c r="CR385" s="307"/>
      <c r="CS385" s="307"/>
      <c r="CT385" s="307"/>
      <c r="CU385" s="307"/>
      <c r="CV385" s="307"/>
      <c r="CW385" s="307"/>
      <c r="CX385" s="307"/>
      <c r="CY385" s="307"/>
      <c r="CZ385" s="307"/>
      <c r="DA385" s="307"/>
      <c r="DB385" s="280"/>
      <c r="DC385" s="280"/>
      <c r="DD385" s="280"/>
      <c r="DE385" s="280"/>
      <c r="DF385" s="280"/>
      <c r="DG385" s="280"/>
      <c r="DH385" s="280"/>
      <c r="DI385" s="280"/>
      <c r="DJ385" s="280"/>
      <c r="DK385" s="280"/>
      <c r="DL385" s="280"/>
      <c r="DM385" s="280"/>
      <c r="DN385" s="280"/>
      <c r="DO385" s="280"/>
      <c r="DP385" s="280"/>
      <c r="DQ385" s="280"/>
      <c r="DR385" s="280"/>
      <c r="DS385" s="280"/>
      <c r="DT385" s="280"/>
      <c r="DU385" s="280"/>
      <c r="DV385" s="280"/>
      <c r="DW385" s="280"/>
      <c r="DX385" s="280"/>
      <c r="DY385" s="280"/>
      <c r="DZ385" s="280"/>
      <c r="EA385" s="280"/>
      <c r="EB385" s="280"/>
      <c r="EC385" s="280"/>
      <c r="ED385" s="280"/>
      <c r="EE385" s="280"/>
      <c r="EF385" s="280"/>
      <c r="EG385" s="280"/>
      <c r="EH385" s="280"/>
      <c r="EI385" s="280"/>
      <c r="EJ385" s="280"/>
      <c r="EK385" s="280"/>
      <c r="EL385" s="280"/>
      <c r="EM385" s="280"/>
      <c r="EN385" s="280"/>
      <c r="EO385" s="280"/>
      <c r="EP385" s="521"/>
      <c r="EQ385" s="521"/>
      <c r="ER385" s="521"/>
      <c r="ES385" s="521"/>
      <c r="ET385" s="521"/>
      <c r="EU385" s="521"/>
      <c r="EV385" s="521"/>
      <c r="EW385" s="521"/>
      <c r="EX385" s="521"/>
      <c r="EY385" s="521"/>
      <c r="EZ385" s="521"/>
      <c r="FA385" s="521"/>
      <c r="FB385" s="521"/>
      <c r="FC385" s="521"/>
      <c r="FD385" s="521"/>
      <c r="FE385" s="521"/>
      <c r="FF385" s="521"/>
      <c r="FG385" s="521"/>
      <c r="FH385" s="567"/>
      <c r="FI385" s="567"/>
      <c r="FJ385" s="567"/>
      <c r="FK385" s="567"/>
      <c r="FL385" s="567"/>
      <c r="FM385" s="567"/>
      <c r="FN385" s="567"/>
      <c r="FO385" s="567"/>
    </row>
    <row r="386" spans="1:171" s="568" customFormat="1" ht="13.9" customHeight="1">
      <c r="A386" s="566"/>
      <c r="B386" s="566"/>
      <c r="C386" s="566"/>
      <c r="D386" s="569"/>
      <c r="E386" s="570"/>
      <c r="F386" s="571"/>
      <c r="G386" s="571"/>
      <c r="H386" s="571"/>
      <c r="I386" s="571"/>
      <c r="J386" s="571"/>
      <c r="K386" s="572"/>
      <c r="L386" s="569"/>
      <c r="M386" s="569"/>
      <c r="N386" s="569"/>
      <c r="O386" s="569"/>
      <c r="P386" s="566"/>
      <c r="Q386" s="566"/>
      <c r="R386" s="566"/>
      <c r="S386" s="566"/>
      <c r="T386" s="566"/>
      <c r="U386" s="566"/>
      <c r="V386" s="566"/>
      <c r="W386" s="566"/>
      <c r="X386" s="553"/>
      <c r="Y386" s="553"/>
      <c r="Z386" s="553"/>
      <c r="AA386" s="554"/>
      <c r="AB386" s="550"/>
      <c r="AC386" s="550"/>
      <c r="AD386" s="550"/>
      <c r="AE386" s="307"/>
      <c r="AF386" s="307"/>
      <c r="AG386" s="307"/>
      <c r="AH386" s="307"/>
      <c r="AI386" s="307"/>
      <c r="AJ386" s="307"/>
      <c r="AK386" s="307"/>
      <c r="AL386" s="307"/>
      <c r="AM386" s="307"/>
      <c r="AN386" s="307"/>
      <c r="AO386" s="307"/>
      <c r="AP386" s="307"/>
      <c r="AQ386" s="307"/>
      <c r="AR386" s="307"/>
      <c r="AS386" s="307"/>
      <c r="AT386" s="307"/>
      <c r="AU386" s="307"/>
      <c r="AV386" s="307"/>
      <c r="AW386" s="307"/>
      <c r="AX386" s="307"/>
      <c r="AY386" s="307"/>
      <c r="AZ386" s="307"/>
      <c r="BA386" s="307"/>
      <c r="BB386" s="307"/>
      <c r="BC386" s="307"/>
      <c r="BD386" s="307"/>
      <c r="BE386" s="307"/>
      <c r="BF386" s="307"/>
      <c r="BG386" s="307"/>
      <c r="BH386" s="307"/>
      <c r="BI386" s="307"/>
      <c r="BJ386" s="307"/>
      <c r="BK386" s="307"/>
      <c r="BL386" s="307"/>
      <c r="BM386" s="307"/>
      <c r="BN386" s="307"/>
      <c r="BO386" s="307"/>
      <c r="BP386" s="307"/>
      <c r="BQ386" s="307"/>
      <c r="BR386" s="307"/>
      <c r="BS386" s="307"/>
      <c r="BT386" s="307"/>
      <c r="BU386" s="307"/>
      <c r="BV386" s="307"/>
      <c r="BW386" s="307"/>
      <c r="BX386" s="307"/>
      <c r="BY386" s="307"/>
      <c r="BZ386" s="307"/>
      <c r="CA386" s="307"/>
      <c r="CB386" s="307"/>
      <c r="CC386" s="307"/>
      <c r="CD386" s="307"/>
      <c r="CE386" s="307"/>
      <c r="CF386" s="307"/>
      <c r="CG386" s="307"/>
      <c r="CH386" s="307"/>
      <c r="CI386" s="307"/>
      <c r="CJ386" s="307"/>
      <c r="CK386" s="307"/>
      <c r="CL386" s="307"/>
      <c r="CM386" s="307"/>
      <c r="CN386" s="307"/>
      <c r="CO386" s="307"/>
      <c r="CP386" s="307"/>
      <c r="CQ386" s="307"/>
      <c r="CR386" s="307"/>
      <c r="CS386" s="307"/>
      <c r="CT386" s="307"/>
      <c r="CU386" s="307"/>
      <c r="CV386" s="307"/>
      <c r="CW386" s="307"/>
      <c r="CX386" s="307"/>
      <c r="CY386" s="307"/>
      <c r="CZ386" s="307"/>
      <c r="DA386" s="307"/>
      <c r="DB386" s="280"/>
      <c r="DC386" s="280"/>
      <c r="DD386" s="280"/>
      <c r="DE386" s="280"/>
      <c r="DF386" s="280"/>
      <c r="DG386" s="280"/>
      <c r="DH386" s="280"/>
      <c r="DI386" s="280"/>
      <c r="DJ386" s="280"/>
      <c r="DK386" s="280"/>
      <c r="DL386" s="280"/>
      <c r="DM386" s="280"/>
      <c r="DN386" s="280"/>
      <c r="DO386" s="280"/>
      <c r="DP386" s="280"/>
      <c r="DQ386" s="280"/>
      <c r="DR386" s="280"/>
      <c r="DS386" s="280"/>
      <c r="DT386" s="280"/>
      <c r="DU386" s="280"/>
      <c r="DV386" s="280"/>
      <c r="DW386" s="280"/>
      <c r="DX386" s="280"/>
      <c r="DY386" s="280"/>
      <c r="DZ386" s="280"/>
      <c r="EA386" s="280"/>
      <c r="EB386" s="280"/>
      <c r="EC386" s="280"/>
      <c r="ED386" s="280"/>
      <c r="EE386" s="280"/>
      <c r="EF386" s="280"/>
      <c r="EG386" s="280"/>
      <c r="EH386" s="280"/>
      <c r="EI386" s="280"/>
      <c r="EJ386" s="280"/>
      <c r="EK386" s="280"/>
      <c r="EL386" s="280"/>
      <c r="EM386" s="280"/>
      <c r="EN386" s="280"/>
      <c r="EO386" s="280"/>
      <c r="EP386" s="521"/>
      <c r="EQ386" s="521"/>
      <c r="ER386" s="521"/>
      <c r="ES386" s="521"/>
      <c r="ET386" s="521"/>
      <c r="EU386" s="521"/>
      <c r="EV386" s="521"/>
      <c r="EW386" s="521"/>
      <c r="EX386" s="521"/>
      <c r="EY386" s="521"/>
      <c r="EZ386" s="521"/>
      <c r="FA386" s="521"/>
      <c r="FB386" s="521"/>
      <c r="FC386" s="521"/>
      <c r="FD386" s="521"/>
      <c r="FE386" s="521"/>
      <c r="FF386" s="521"/>
      <c r="FG386" s="521"/>
      <c r="FH386" s="567"/>
      <c r="FI386" s="567"/>
      <c r="FJ386" s="567"/>
      <c r="FK386" s="567"/>
      <c r="FL386" s="567"/>
      <c r="FM386" s="567"/>
      <c r="FN386" s="567"/>
      <c r="FO386" s="567"/>
    </row>
    <row r="387" spans="1:171" s="568" customFormat="1" ht="13.9" customHeight="1">
      <c r="A387" s="566"/>
      <c r="B387" s="566"/>
      <c r="C387" s="566"/>
      <c r="D387" s="569"/>
      <c r="E387" s="570"/>
      <c r="F387" s="571"/>
      <c r="G387" s="571"/>
      <c r="H387" s="571"/>
      <c r="I387" s="571"/>
      <c r="J387" s="571"/>
      <c r="K387" s="572"/>
      <c r="L387" s="569"/>
      <c r="M387" s="569"/>
      <c r="N387" s="569"/>
      <c r="O387" s="569"/>
      <c r="P387" s="566"/>
      <c r="Q387" s="566"/>
      <c r="R387" s="566"/>
      <c r="S387" s="566"/>
      <c r="T387" s="566"/>
      <c r="U387" s="566"/>
      <c r="V387" s="566"/>
      <c r="W387" s="566"/>
      <c r="X387" s="553"/>
      <c r="Y387" s="553"/>
      <c r="Z387" s="553"/>
      <c r="AA387" s="554"/>
      <c r="AB387" s="550"/>
      <c r="AC387" s="550"/>
      <c r="AD387" s="550"/>
      <c r="AE387" s="307"/>
      <c r="AF387" s="307"/>
      <c r="AG387" s="307"/>
      <c r="AH387" s="307"/>
      <c r="AI387" s="307"/>
      <c r="AJ387" s="307"/>
      <c r="AK387" s="307"/>
      <c r="AL387" s="307"/>
      <c r="AM387" s="307"/>
      <c r="AN387" s="307"/>
      <c r="AO387" s="307"/>
      <c r="AP387" s="307"/>
      <c r="AQ387" s="307"/>
      <c r="AR387" s="307"/>
      <c r="AS387" s="307"/>
      <c r="AT387" s="307"/>
      <c r="AU387" s="307"/>
      <c r="AV387" s="307"/>
      <c r="AW387" s="307"/>
      <c r="AX387" s="307"/>
      <c r="AY387" s="307"/>
      <c r="AZ387" s="307"/>
      <c r="BA387" s="307"/>
      <c r="BB387" s="307"/>
      <c r="BC387" s="307"/>
      <c r="BD387" s="307"/>
      <c r="BE387" s="307"/>
      <c r="BF387" s="307"/>
      <c r="BG387" s="307"/>
      <c r="BH387" s="307"/>
      <c r="BI387" s="307"/>
      <c r="BJ387" s="307"/>
      <c r="BK387" s="307"/>
      <c r="BL387" s="307"/>
      <c r="BM387" s="307"/>
      <c r="BN387" s="307"/>
      <c r="BO387" s="307"/>
      <c r="BP387" s="307"/>
      <c r="BQ387" s="307"/>
      <c r="BR387" s="307"/>
      <c r="BS387" s="307"/>
      <c r="BT387" s="307"/>
      <c r="BU387" s="307"/>
      <c r="BV387" s="307"/>
      <c r="BW387" s="307"/>
      <c r="BX387" s="307"/>
      <c r="BY387" s="307"/>
      <c r="BZ387" s="307"/>
      <c r="CA387" s="307"/>
      <c r="CB387" s="307"/>
      <c r="CC387" s="307"/>
      <c r="CD387" s="307"/>
      <c r="CE387" s="307"/>
      <c r="CF387" s="307"/>
      <c r="CG387" s="307"/>
      <c r="CH387" s="307"/>
      <c r="CI387" s="307"/>
      <c r="CJ387" s="307"/>
      <c r="CK387" s="307"/>
      <c r="CL387" s="307"/>
      <c r="CM387" s="307"/>
      <c r="CN387" s="307"/>
      <c r="CO387" s="307"/>
      <c r="CP387" s="307"/>
      <c r="CQ387" s="307"/>
      <c r="CR387" s="307"/>
      <c r="CS387" s="307"/>
      <c r="CT387" s="307"/>
      <c r="CU387" s="307"/>
      <c r="CV387" s="307"/>
      <c r="CW387" s="307"/>
      <c r="CX387" s="307"/>
      <c r="CY387" s="307"/>
      <c r="CZ387" s="307"/>
      <c r="DA387" s="307"/>
      <c r="DB387" s="280"/>
      <c r="DC387" s="280"/>
      <c r="DD387" s="280"/>
      <c r="DE387" s="280"/>
      <c r="DF387" s="280"/>
      <c r="DG387" s="280"/>
      <c r="DH387" s="280"/>
      <c r="DI387" s="280"/>
      <c r="DJ387" s="280"/>
      <c r="DK387" s="280"/>
      <c r="DL387" s="280"/>
      <c r="DM387" s="280"/>
      <c r="DN387" s="280"/>
      <c r="DO387" s="280"/>
      <c r="DP387" s="280"/>
      <c r="DQ387" s="280"/>
      <c r="DR387" s="280"/>
      <c r="DS387" s="280"/>
      <c r="DT387" s="280"/>
      <c r="DU387" s="280"/>
      <c r="DV387" s="280"/>
      <c r="DW387" s="280"/>
      <c r="DX387" s="280"/>
      <c r="DY387" s="280"/>
      <c r="DZ387" s="280"/>
      <c r="EA387" s="280"/>
      <c r="EB387" s="280"/>
      <c r="EC387" s="280"/>
      <c r="ED387" s="280"/>
      <c r="EE387" s="280"/>
      <c r="EF387" s="280"/>
      <c r="EG387" s="280"/>
      <c r="EH387" s="280"/>
      <c r="EI387" s="280"/>
      <c r="EJ387" s="280"/>
      <c r="EK387" s="280"/>
      <c r="EL387" s="280"/>
      <c r="EM387" s="280"/>
      <c r="EN387" s="280"/>
      <c r="EO387" s="280"/>
      <c r="EP387" s="521"/>
      <c r="EQ387" s="521"/>
      <c r="ER387" s="521"/>
      <c r="ES387" s="521"/>
      <c r="ET387" s="521"/>
      <c r="EU387" s="521"/>
      <c r="EV387" s="521"/>
      <c r="EW387" s="521"/>
      <c r="EX387" s="521"/>
      <c r="EY387" s="521"/>
      <c r="EZ387" s="521"/>
      <c r="FA387" s="521"/>
      <c r="FB387" s="521"/>
      <c r="FC387" s="521"/>
      <c r="FD387" s="521"/>
      <c r="FE387" s="521"/>
      <c r="FF387" s="521"/>
      <c r="FG387" s="521"/>
      <c r="FH387" s="567"/>
      <c r="FI387" s="567"/>
      <c r="FJ387" s="567"/>
      <c r="FK387" s="567"/>
      <c r="FL387" s="567"/>
      <c r="FM387" s="567"/>
      <c r="FN387" s="567"/>
      <c r="FO387" s="567"/>
    </row>
    <row r="388" spans="1:171" s="568" customFormat="1" ht="13.9" customHeight="1">
      <c r="A388" s="566"/>
      <c r="B388" s="566"/>
      <c r="C388" s="566"/>
      <c r="D388" s="569"/>
      <c r="E388" s="570"/>
      <c r="F388" s="571"/>
      <c r="G388" s="571"/>
      <c r="H388" s="571"/>
      <c r="I388" s="571"/>
      <c r="J388" s="571"/>
      <c r="K388" s="572"/>
      <c r="L388" s="569"/>
      <c r="M388" s="569"/>
      <c r="N388" s="569"/>
      <c r="O388" s="569"/>
      <c r="P388" s="566"/>
      <c r="Q388" s="566"/>
      <c r="R388" s="566"/>
      <c r="S388" s="566"/>
      <c r="T388" s="566"/>
      <c r="U388" s="566"/>
      <c r="V388" s="566"/>
      <c r="W388" s="566"/>
      <c r="X388" s="553"/>
      <c r="Y388" s="553"/>
      <c r="Z388" s="553"/>
      <c r="AA388" s="554"/>
      <c r="AB388" s="550"/>
      <c r="AC388" s="550"/>
      <c r="AD388" s="550"/>
      <c r="AE388" s="307"/>
      <c r="AF388" s="307"/>
      <c r="AG388" s="307"/>
      <c r="AH388" s="307"/>
      <c r="AI388" s="307"/>
      <c r="AJ388" s="307"/>
      <c r="AK388" s="307"/>
      <c r="AL388" s="307"/>
      <c r="AM388" s="307"/>
      <c r="AN388" s="307"/>
      <c r="AO388" s="307"/>
      <c r="AP388" s="307"/>
      <c r="AQ388" s="307"/>
      <c r="AR388" s="307"/>
      <c r="AS388" s="307"/>
      <c r="AT388" s="307"/>
      <c r="AU388" s="307"/>
      <c r="AV388" s="307"/>
      <c r="AW388" s="307"/>
      <c r="AX388" s="307"/>
      <c r="AY388" s="307"/>
      <c r="AZ388" s="307"/>
      <c r="BA388" s="307"/>
      <c r="BB388" s="307"/>
      <c r="BC388" s="307"/>
      <c r="BD388" s="307"/>
      <c r="BE388" s="307"/>
      <c r="BF388" s="307"/>
      <c r="BG388" s="307"/>
      <c r="BH388" s="307"/>
      <c r="BI388" s="307"/>
      <c r="BJ388" s="307"/>
      <c r="BK388" s="307"/>
      <c r="BL388" s="307"/>
      <c r="BM388" s="307"/>
      <c r="BN388" s="307"/>
      <c r="BO388" s="307"/>
      <c r="BP388" s="307"/>
      <c r="BQ388" s="307"/>
      <c r="BR388" s="307"/>
      <c r="BS388" s="307"/>
      <c r="BT388" s="307"/>
      <c r="BU388" s="307"/>
      <c r="BV388" s="307"/>
      <c r="BW388" s="307"/>
      <c r="BX388" s="307"/>
      <c r="BY388" s="307"/>
      <c r="BZ388" s="307"/>
      <c r="CA388" s="307"/>
      <c r="CB388" s="307"/>
      <c r="CC388" s="307"/>
      <c r="CD388" s="307"/>
      <c r="CE388" s="307"/>
      <c r="CF388" s="307"/>
      <c r="CG388" s="307"/>
      <c r="CH388" s="307"/>
      <c r="CI388" s="307"/>
      <c r="CJ388" s="307"/>
      <c r="CK388" s="307"/>
      <c r="CL388" s="307"/>
      <c r="CM388" s="307"/>
      <c r="CN388" s="307"/>
      <c r="CO388" s="307"/>
      <c r="CP388" s="307"/>
      <c r="CQ388" s="307"/>
      <c r="CR388" s="307"/>
      <c r="CS388" s="307"/>
      <c r="CT388" s="307"/>
      <c r="CU388" s="307"/>
      <c r="CV388" s="307"/>
      <c r="CW388" s="307"/>
      <c r="CX388" s="307"/>
      <c r="CY388" s="307"/>
      <c r="CZ388" s="307"/>
      <c r="DA388" s="307"/>
      <c r="DB388" s="280"/>
      <c r="DC388" s="280"/>
      <c r="DD388" s="280"/>
      <c r="DE388" s="280"/>
      <c r="DF388" s="280"/>
      <c r="DG388" s="280"/>
      <c r="DH388" s="280"/>
      <c r="DI388" s="280"/>
      <c r="DJ388" s="280"/>
      <c r="DK388" s="280"/>
      <c r="DL388" s="280"/>
      <c r="DM388" s="280"/>
      <c r="DN388" s="280"/>
      <c r="DO388" s="280"/>
      <c r="DP388" s="280"/>
      <c r="DQ388" s="280"/>
      <c r="DR388" s="280"/>
      <c r="DS388" s="280"/>
      <c r="DT388" s="280"/>
      <c r="DU388" s="280"/>
      <c r="DV388" s="280"/>
      <c r="DW388" s="280"/>
      <c r="DX388" s="280"/>
      <c r="DY388" s="280"/>
      <c r="DZ388" s="280"/>
      <c r="EA388" s="280"/>
      <c r="EB388" s="280"/>
      <c r="EC388" s="280"/>
      <c r="ED388" s="280"/>
      <c r="EE388" s="280"/>
      <c r="EF388" s="280"/>
      <c r="EG388" s="280"/>
      <c r="EH388" s="280"/>
      <c r="EI388" s="280"/>
      <c r="EJ388" s="280"/>
      <c r="EK388" s="280"/>
      <c r="EL388" s="280"/>
      <c r="EM388" s="280"/>
      <c r="EN388" s="280"/>
      <c r="EO388" s="280"/>
      <c r="EP388" s="521"/>
      <c r="EQ388" s="521"/>
      <c r="ER388" s="521"/>
      <c r="ES388" s="521"/>
      <c r="ET388" s="521"/>
      <c r="EU388" s="521"/>
      <c r="EV388" s="521"/>
      <c r="EW388" s="521"/>
      <c r="EX388" s="521"/>
      <c r="EY388" s="521"/>
      <c r="EZ388" s="521"/>
      <c r="FA388" s="521"/>
      <c r="FB388" s="521"/>
      <c r="FC388" s="521"/>
      <c r="FD388" s="521"/>
      <c r="FE388" s="521"/>
      <c r="FF388" s="521"/>
      <c r="FG388" s="521"/>
      <c r="FH388" s="567"/>
      <c r="FI388" s="567"/>
      <c r="FJ388" s="567"/>
      <c r="FK388" s="567"/>
      <c r="FL388" s="567"/>
      <c r="FM388" s="567"/>
      <c r="FN388" s="567"/>
      <c r="FO388" s="567"/>
    </row>
    <row r="389" spans="1:171" s="568" customFormat="1" ht="13.9" customHeight="1">
      <c r="A389" s="566"/>
      <c r="B389" s="566"/>
      <c r="C389" s="566"/>
      <c r="D389" s="569"/>
      <c r="E389" s="570"/>
      <c r="F389" s="571"/>
      <c r="G389" s="571"/>
      <c r="H389" s="571"/>
      <c r="I389" s="571"/>
      <c r="J389" s="571"/>
      <c r="K389" s="572"/>
      <c r="L389" s="569"/>
      <c r="M389" s="569"/>
      <c r="N389" s="569"/>
      <c r="O389" s="569"/>
      <c r="P389" s="566"/>
      <c r="Q389" s="566"/>
      <c r="R389" s="566"/>
      <c r="S389" s="566"/>
      <c r="T389" s="566"/>
      <c r="U389" s="566"/>
      <c r="V389" s="566"/>
      <c r="W389" s="566"/>
      <c r="X389" s="553"/>
      <c r="Y389" s="553"/>
      <c r="Z389" s="553"/>
      <c r="AA389" s="554"/>
      <c r="AB389" s="550"/>
      <c r="AC389" s="550"/>
      <c r="AD389" s="550"/>
      <c r="AE389" s="307"/>
      <c r="AF389" s="307"/>
      <c r="AG389" s="307"/>
      <c r="AH389" s="307"/>
      <c r="AI389" s="307"/>
      <c r="AJ389" s="307"/>
      <c r="AK389" s="307"/>
      <c r="AL389" s="307"/>
      <c r="AM389" s="307"/>
      <c r="AN389" s="307"/>
      <c r="AO389" s="307"/>
      <c r="AP389" s="307"/>
      <c r="AQ389" s="307"/>
      <c r="AR389" s="307"/>
      <c r="AS389" s="307"/>
      <c r="AT389" s="307"/>
      <c r="AU389" s="307"/>
      <c r="AV389" s="307"/>
      <c r="AW389" s="307"/>
      <c r="AX389" s="307"/>
      <c r="AY389" s="307"/>
      <c r="AZ389" s="307"/>
      <c r="BA389" s="307"/>
      <c r="BB389" s="307"/>
      <c r="BC389" s="307"/>
      <c r="BD389" s="307"/>
      <c r="BE389" s="307"/>
      <c r="BF389" s="307"/>
      <c r="BG389" s="307"/>
      <c r="BH389" s="307"/>
      <c r="BI389" s="307"/>
      <c r="BJ389" s="307"/>
      <c r="BK389" s="307"/>
      <c r="BL389" s="307"/>
      <c r="BM389" s="307"/>
      <c r="BN389" s="307"/>
      <c r="BO389" s="307"/>
      <c r="BP389" s="307"/>
      <c r="BQ389" s="307"/>
      <c r="BR389" s="307"/>
      <c r="BS389" s="307"/>
      <c r="BT389" s="307"/>
      <c r="BU389" s="307"/>
      <c r="BV389" s="307"/>
      <c r="BW389" s="307"/>
      <c r="BX389" s="307"/>
      <c r="BY389" s="307"/>
      <c r="BZ389" s="307"/>
      <c r="CA389" s="307"/>
      <c r="CB389" s="307"/>
      <c r="CC389" s="307"/>
      <c r="CD389" s="307"/>
      <c r="CE389" s="307"/>
      <c r="CF389" s="307"/>
      <c r="CG389" s="307"/>
      <c r="CH389" s="307"/>
      <c r="CI389" s="307"/>
      <c r="CJ389" s="307"/>
      <c r="CK389" s="307"/>
      <c r="CL389" s="307"/>
      <c r="CM389" s="307"/>
      <c r="CN389" s="307"/>
      <c r="CO389" s="307"/>
      <c r="CP389" s="307"/>
      <c r="CQ389" s="307"/>
      <c r="CR389" s="307"/>
      <c r="CS389" s="307"/>
      <c r="CT389" s="307"/>
      <c r="CU389" s="307"/>
      <c r="CV389" s="307"/>
      <c r="CW389" s="307"/>
      <c r="CX389" s="307"/>
      <c r="CY389" s="307"/>
      <c r="CZ389" s="307"/>
      <c r="DA389" s="307"/>
      <c r="DB389" s="280"/>
      <c r="DC389" s="280"/>
      <c r="DD389" s="280"/>
      <c r="DE389" s="280"/>
      <c r="DF389" s="280"/>
      <c r="DG389" s="280"/>
      <c r="DH389" s="280"/>
      <c r="DI389" s="280"/>
      <c r="DJ389" s="280"/>
      <c r="DK389" s="280"/>
      <c r="DL389" s="280"/>
      <c r="DM389" s="280"/>
      <c r="DN389" s="280"/>
      <c r="DO389" s="280"/>
      <c r="DP389" s="280"/>
      <c r="DQ389" s="280"/>
      <c r="DR389" s="280"/>
      <c r="DS389" s="280"/>
      <c r="DT389" s="280"/>
      <c r="DU389" s="280"/>
      <c r="DV389" s="280"/>
      <c r="DW389" s="280"/>
      <c r="DX389" s="280"/>
      <c r="DY389" s="280"/>
      <c r="DZ389" s="280"/>
      <c r="EA389" s="280"/>
      <c r="EB389" s="280"/>
      <c r="EC389" s="280"/>
      <c r="ED389" s="280"/>
      <c r="EE389" s="280"/>
      <c r="EF389" s="280"/>
      <c r="EG389" s="280"/>
      <c r="EH389" s="280"/>
      <c r="EI389" s="280"/>
      <c r="EJ389" s="280"/>
      <c r="EK389" s="280"/>
      <c r="EL389" s="280"/>
      <c r="EM389" s="280"/>
      <c r="EN389" s="280"/>
      <c r="EO389" s="280"/>
      <c r="EP389" s="521"/>
      <c r="EQ389" s="521"/>
      <c r="ER389" s="521"/>
      <c r="ES389" s="521"/>
      <c r="ET389" s="521"/>
      <c r="EU389" s="521"/>
      <c r="EV389" s="521"/>
      <c r="EW389" s="521"/>
      <c r="EX389" s="521"/>
      <c r="EY389" s="521"/>
      <c r="EZ389" s="521"/>
      <c r="FA389" s="521"/>
      <c r="FB389" s="521"/>
      <c r="FC389" s="521"/>
      <c r="FD389" s="521"/>
      <c r="FE389" s="521"/>
      <c r="FF389" s="521"/>
      <c r="FG389" s="521"/>
      <c r="FH389" s="567"/>
      <c r="FI389" s="567"/>
      <c r="FJ389" s="567"/>
      <c r="FK389" s="567"/>
      <c r="FL389" s="567"/>
      <c r="FM389" s="567"/>
      <c r="FN389" s="567"/>
      <c r="FO389" s="567"/>
    </row>
    <row r="390" spans="1:171" s="568" customFormat="1" ht="13.9" customHeight="1">
      <c r="A390" s="566"/>
      <c r="B390" s="566"/>
      <c r="C390" s="566"/>
      <c r="D390" s="569"/>
      <c r="E390" s="570"/>
      <c r="F390" s="571"/>
      <c r="G390" s="571"/>
      <c r="H390" s="571"/>
      <c r="I390" s="571"/>
      <c r="J390" s="571"/>
      <c r="K390" s="572"/>
      <c r="L390" s="569"/>
      <c r="M390" s="569"/>
      <c r="N390" s="569"/>
      <c r="O390" s="569"/>
      <c r="P390" s="566"/>
      <c r="Q390" s="566"/>
      <c r="R390" s="566"/>
      <c r="S390" s="566"/>
      <c r="T390" s="566"/>
      <c r="U390" s="566"/>
      <c r="V390" s="566"/>
      <c r="W390" s="566"/>
      <c r="X390" s="553"/>
      <c r="Y390" s="553"/>
      <c r="Z390" s="553"/>
      <c r="AA390" s="554"/>
      <c r="AB390" s="550"/>
      <c r="AC390" s="550"/>
      <c r="AD390" s="550"/>
      <c r="AE390" s="307"/>
      <c r="AF390" s="307"/>
      <c r="AG390" s="307"/>
      <c r="AH390" s="307"/>
      <c r="AI390" s="307"/>
      <c r="AJ390" s="307"/>
      <c r="AK390" s="307"/>
      <c r="AL390" s="307"/>
      <c r="AM390" s="307"/>
      <c r="AN390" s="307"/>
      <c r="AO390" s="307"/>
      <c r="AP390" s="307"/>
      <c r="AQ390" s="307"/>
      <c r="AR390" s="307"/>
      <c r="AS390" s="307"/>
      <c r="AT390" s="307"/>
      <c r="AU390" s="307"/>
      <c r="AV390" s="307"/>
      <c r="AW390" s="307"/>
      <c r="AX390" s="307"/>
      <c r="AY390" s="307"/>
      <c r="AZ390" s="307"/>
      <c r="BA390" s="307"/>
      <c r="BB390" s="307"/>
      <c r="BC390" s="307"/>
      <c r="BD390" s="307"/>
      <c r="BE390" s="307"/>
      <c r="BF390" s="307"/>
      <c r="BG390" s="307"/>
      <c r="BH390" s="307"/>
      <c r="BI390" s="307"/>
      <c r="BJ390" s="307"/>
      <c r="BK390" s="307"/>
      <c r="BL390" s="307"/>
      <c r="BM390" s="307"/>
      <c r="BN390" s="307"/>
      <c r="BO390" s="307"/>
      <c r="BP390" s="307"/>
      <c r="BQ390" s="307"/>
      <c r="BR390" s="307"/>
      <c r="BS390" s="307"/>
      <c r="BT390" s="307"/>
      <c r="BU390" s="307"/>
      <c r="BV390" s="307"/>
      <c r="BW390" s="307"/>
      <c r="BX390" s="307"/>
      <c r="BY390" s="307"/>
      <c r="BZ390" s="307"/>
      <c r="CA390" s="307"/>
      <c r="CB390" s="307"/>
      <c r="CC390" s="307"/>
      <c r="CD390" s="307"/>
      <c r="CE390" s="307"/>
      <c r="CF390" s="307"/>
      <c r="CG390" s="307"/>
      <c r="CH390" s="307"/>
      <c r="CI390" s="307"/>
      <c r="CJ390" s="307"/>
      <c r="CK390" s="307"/>
      <c r="CL390" s="307"/>
      <c r="CM390" s="307"/>
      <c r="CN390" s="307"/>
      <c r="CO390" s="307"/>
      <c r="CP390" s="307"/>
      <c r="CQ390" s="307"/>
      <c r="CR390" s="307"/>
      <c r="CS390" s="307"/>
      <c r="CT390" s="307"/>
      <c r="CU390" s="307"/>
      <c r="CV390" s="307"/>
      <c r="CW390" s="307"/>
      <c r="CX390" s="307"/>
      <c r="CY390" s="307"/>
      <c r="CZ390" s="307"/>
      <c r="DA390" s="307"/>
      <c r="DB390" s="280"/>
      <c r="DC390" s="280"/>
      <c r="DD390" s="280"/>
      <c r="DE390" s="280"/>
      <c r="DF390" s="280"/>
      <c r="DG390" s="280"/>
      <c r="DH390" s="280"/>
      <c r="DI390" s="280"/>
      <c r="DJ390" s="280"/>
      <c r="DK390" s="280"/>
      <c r="DL390" s="280"/>
      <c r="DM390" s="280"/>
      <c r="DN390" s="280"/>
      <c r="DO390" s="280"/>
      <c r="DP390" s="280"/>
      <c r="DQ390" s="280"/>
      <c r="DR390" s="280"/>
      <c r="DS390" s="280"/>
      <c r="DT390" s="280"/>
      <c r="DU390" s="280"/>
      <c r="DV390" s="280"/>
      <c r="DW390" s="280"/>
      <c r="DX390" s="280"/>
      <c r="DY390" s="280"/>
      <c r="DZ390" s="280"/>
      <c r="EA390" s="280"/>
      <c r="EB390" s="280"/>
      <c r="EC390" s="280"/>
      <c r="ED390" s="280"/>
      <c r="EE390" s="280"/>
      <c r="EF390" s="280"/>
      <c r="EG390" s="280"/>
      <c r="EH390" s="280"/>
      <c r="EI390" s="280"/>
      <c r="EJ390" s="280"/>
      <c r="EK390" s="280"/>
      <c r="EL390" s="280"/>
      <c r="EM390" s="280"/>
      <c r="EN390" s="280"/>
      <c r="EO390" s="280"/>
      <c r="EP390" s="521"/>
      <c r="EQ390" s="521"/>
      <c r="ER390" s="521"/>
      <c r="ES390" s="521"/>
      <c r="ET390" s="521"/>
      <c r="EU390" s="521"/>
      <c r="EV390" s="521"/>
      <c r="EW390" s="521"/>
      <c r="EX390" s="521"/>
      <c r="EY390" s="521"/>
      <c r="EZ390" s="521"/>
      <c r="FA390" s="521"/>
      <c r="FB390" s="521"/>
      <c r="FC390" s="521"/>
      <c r="FD390" s="521"/>
      <c r="FE390" s="521"/>
      <c r="FF390" s="521"/>
      <c r="FG390" s="521"/>
      <c r="FH390" s="567"/>
      <c r="FI390" s="567"/>
      <c r="FJ390" s="567"/>
      <c r="FK390" s="567"/>
      <c r="FL390" s="567"/>
      <c r="FM390" s="567"/>
      <c r="FN390" s="567"/>
      <c r="FO390" s="567"/>
    </row>
    <row r="391" spans="1:171" s="568" customFormat="1" ht="13.9" customHeight="1">
      <c r="A391" s="566"/>
      <c r="B391" s="566"/>
      <c r="C391" s="566"/>
      <c r="D391" s="569"/>
      <c r="E391" s="570"/>
      <c r="F391" s="571"/>
      <c r="G391" s="571"/>
      <c r="H391" s="571"/>
      <c r="I391" s="571"/>
      <c r="J391" s="571"/>
      <c r="K391" s="572"/>
      <c r="L391" s="569"/>
      <c r="M391" s="569"/>
      <c r="N391" s="569"/>
      <c r="O391" s="569"/>
      <c r="P391" s="566"/>
      <c r="Q391" s="566"/>
      <c r="R391" s="566"/>
      <c r="S391" s="566"/>
      <c r="T391" s="566"/>
      <c r="U391" s="566"/>
      <c r="V391" s="566"/>
      <c r="W391" s="566"/>
      <c r="X391" s="553"/>
      <c r="Y391" s="553"/>
      <c r="Z391" s="553"/>
      <c r="AA391" s="554"/>
      <c r="AB391" s="550"/>
      <c r="AC391" s="550"/>
      <c r="AD391" s="550"/>
      <c r="AE391" s="307"/>
      <c r="AF391" s="307"/>
      <c r="AG391" s="307"/>
      <c r="AH391" s="307"/>
      <c r="AI391" s="307"/>
      <c r="AJ391" s="307"/>
      <c r="AK391" s="307"/>
      <c r="AL391" s="307"/>
      <c r="AM391" s="307"/>
      <c r="AN391" s="307"/>
      <c r="AO391" s="307"/>
      <c r="AP391" s="307"/>
      <c r="AQ391" s="307"/>
      <c r="AR391" s="307"/>
      <c r="AS391" s="307"/>
      <c r="AT391" s="307"/>
      <c r="AU391" s="307"/>
      <c r="AV391" s="307"/>
      <c r="AW391" s="307"/>
      <c r="AX391" s="307"/>
      <c r="AY391" s="307"/>
      <c r="AZ391" s="307"/>
      <c r="BA391" s="307"/>
      <c r="BB391" s="307"/>
      <c r="BC391" s="307"/>
      <c r="BD391" s="307"/>
      <c r="BE391" s="307"/>
      <c r="BF391" s="307"/>
      <c r="BG391" s="307"/>
      <c r="BH391" s="307"/>
      <c r="BI391" s="307"/>
      <c r="BJ391" s="307"/>
      <c r="BK391" s="307"/>
      <c r="BL391" s="307"/>
      <c r="BM391" s="307"/>
      <c r="BN391" s="307"/>
      <c r="BO391" s="307"/>
      <c r="BP391" s="307"/>
      <c r="BQ391" s="307"/>
      <c r="BR391" s="307"/>
      <c r="BS391" s="307"/>
      <c r="BT391" s="307"/>
      <c r="BU391" s="307"/>
      <c r="BV391" s="307"/>
      <c r="BW391" s="307"/>
      <c r="BX391" s="307"/>
      <c r="BY391" s="307"/>
      <c r="BZ391" s="307"/>
      <c r="CA391" s="307"/>
      <c r="CB391" s="307"/>
      <c r="CC391" s="307"/>
      <c r="CD391" s="307"/>
      <c r="CE391" s="307"/>
      <c r="CF391" s="307"/>
      <c r="CG391" s="307"/>
      <c r="CH391" s="307"/>
      <c r="CI391" s="307"/>
      <c r="CJ391" s="307"/>
      <c r="CK391" s="307"/>
      <c r="CL391" s="307"/>
      <c r="CM391" s="307"/>
      <c r="CN391" s="307"/>
      <c r="CO391" s="307"/>
      <c r="CP391" s="307"/>
      <c r="CQ391" s="307"/>
      <c r="CR391" s="307"/>
      <c r="CS391" s="307"/>
      <c r="CT391" s="307"/>
      <c r="CU391" s="307"/>
      <c r="CV391" s="307"/>
      <c r="CW391" s="307"/>
      <c r="CX391" s="307"/>
      <c r="CY391" s="307"/>
      <c r="CZ391" s="307"/>
      <c r="DA391" s="307"/>
      <c r="DB391" s="280"/>
      <c r="DC391" s="280"/>
      <c r="DD391" s="280"/>
      <c r="DE391" s="280"/>
      <c r="DF391" s="280"/>
      <c r="DG391" s="280"/>
      <c r="DH391" s="280"/>
      <c r="DI391" s="280"/>
      <c r="DJ391" s="280"/>
      <c r="DK391" s="280"/>
      <c r="DL391" s="280"/>
      <c r="DM391" s="280"/>
      <c r="DN391" s="280"/>
      <c r="DO391" s="280"/>
      <c r="DP391" s="280"/>
      <c r="DQ391" s="280"/>
      <c r="DR391" s="280"/>
      <c r="DS391" s="280"/>
      <c r="DT391" s="280"/>
      <c r="DU391" s="280"/>
      <c r="DV391" s="280"/>
      <c r="DW391" s="280"/>
      <c r="DX391" s="280"/>
      <c r="DY391" s="280"/>
      <c r="DZ391" s="280"/>
      <c r="EA391" s="280"/>
      <c r="EB391" s="280"/>
      <c r="EC391" s="280"/>
      <c r="ED391" s="280"/>
      <c r="EE391" s="280"/>
      <c r="EF391" s="280"/>
      <c r="EG391" s="280"/>
      <c r="EH391" s="280"/>
      <c r="EI391" s="280"/>
      <c r="EJ391" s="280"/>
      <c r="EK391" s="280"/>
      <c r="EL391" s="280"/>
      <c r="EM391" s="280"/>
      <c r="EN391" s="280"/>
      <c r="EO391" s="280"/>
      <c r="EP391" s="521"/>
      <c r="EQ391" s="521"/>
      <c r="ER391" s="521"/>
      <c r="ES391" s="521"/>
      <c r="ET391" s="521"/>
      <c r="EU391" s="521"/>
      <c r="EV391" s="521"/>
      <c r="EW391" s="521"/>
      <c r="EX391" s="521"/>
      <c r="EY391" s="521"/>
      <c r="EZ391" s="521"/>
      <c r="FA391" s="521"/>
      <c r="FB391" s="521"/>
      <c r="FC391" s="521"/>
      <c r="FD391" s="521"/>
      <c r="FE391" s="521"/>
      <c r="FF391" s="521"/>
      <c r="FG391" s="521"/>
      <c r="FH391" s="567"/>
      <c r="FI391" s="567"/>
      <c r="FJ391" s="567"/>
      <c r="FK391" s="567"/>
      <c r="FL391" s="567"/>
      <c r="FM391" s="567"/>
      <c r="FN391" s="567"/>
      <c r="FO391" s="567"/>
    </row>
    <row r="392" spans="1:171" s="568" customFormat="1" ht="13.9" customHeight="1">
      <c r="A392" s="566"/>
      <c r="B392" s="566"/>
      <c r="C392" s="566"/>
      <c r="D392" s="569"/>
      <c r="E392" s="570"/>
      <c r="F392" s="571"/>
      <c r="G392" s="571"/>
      <c r="H392" s="571"/>
      <c r="I392" s="571"/>
      <c r="J392" s="571"/>
      <c r="K392" s="572"/>
      <c r="L392" s="569"/>
      <c r="M392" s="569"/>
      <c r="N392" s="569"/>
      <c r="O392" s="569"/>
      <c r="P392" s="566"/>
      <c r="Q392" s="566"/>
      <c r="R392" s="566"/>
      <c r="S392" s="566"/>
      <c r="T392" s="566"/>
      <c r="U392" s="566"/>
      <c r="V392" s="566"/>
      <c r="W392" s="566"/>
      <c r="X392" s="553"/>
      <c r="Y392" s="553"/>
      <c r="Z392" s="553"/>
      <c r="AA392" s="554"/>
      <c r="AB392" s="550"/>
      <c r="AC392" s="550"/>
      <c r="AD392" s="550"/>
      <c r="AE392" s="307"/>
      <c r="AF392" s="307"/>
      <c r="AG392" s="307"/>
      <c r="AH392" s="307"/>
      <c r="AI392" s="307"/>
      <c r="AJ392" s="307"/>
      <c r="AK392" s="307"/>
      <c r="AL392" s="307"/>
      <c r="AM392" s="307"/>
      <c r="AN392" s="307"/>
      <c r="AO392" s="307"/>
      <c r="AP392" s="307"/>
      <c r="AQ392" s="307"/>
      <c r="AR392" s="307"/>
      <c r="AS392" s="307"/>
      <c r="AT392" s="307"/>
      <c r="AU392" s="307"/>
      <c r="AV392" s="307"/>
      <c r="AW392" s="307"/>
      <c r="AX392" s="307"/>
      <c r="AY392" s="307"/>
      <c r="AZ392" s="307"/>
      <c r="BA392" s="307"/>
      <c r="BB392" s="307"/>
      <c r="BC392" s="307"/>
      <c r="BD392" s="307"/>
      <c r="BE392" s="307"/>
      <c r="BF392" s="307"/>
      <c r="BG392" s="307"/>
      <c r="BH392" s="307"/>
      <c r="BI392" s="307"/>
      <c r="BJ392" s="307"/>
      <c r="BK392" s="307"/>
      <c r="BL392" s="307"/>
      <c r="BM392" s="307"/>
      <c r="BN392" s="307"/>
      <c r="BO392" s="307"/>
      <c r="BP392" s="307"/>
      <c r="BQ392" s="307"/>
      <c r="BR392" s="307"/>
      <c r="BS392" s="307"/>
      <c r="BT392" s="307"/>
      <c r="BU392" s="307"/>
      <c r="BV392" s="307"/>
      <c r="BW392" s="307"/>
      <c r="BX392" s="307"/>
      <c r="BY392" s="307"/>
      <c r="BZ392" s="307"/>
      <c r="CA392" s="307"/>
      <c r="CB392" s="307"/>
      <c r="CC392" s="307"/>
      <c r="CD392" s="307"/>
      <c r="CE392" s="307"/>
      <c r="CF392" s="307"/>
      <c r="CG392" s="307"/>
      <c r="CH392" s="307"/>
      <c r="CI392" s="307"/>
      <c r="CJ392" s="307"/>
      <c r="CK392" s="307"/>
      <c r="CL392" s="307"/>
      <c r="CM392" s="307"/>
      <c r="CN392" s="307"/>
      <c r="CO392" s="307"/>
      <c r="CP392" s="307"/>
      <c r="CQ392" s="307"/>
      <c r="CR392" s="307"/>
      <c r="CS392" s="307"/>
      <c r="CT392" s="307"/>
      <c r="CU392" s="307"/>
      <c r="CV392" s="307"/>
      <c r="CW392" s="307"/>
      <c r="CX392" s="307"/>
      <c r="CY392" s="307"/>
      <c r="CZ392" s="307"/>
      <c r="DA392" s="307"/>
      <c r="DB392" s="280"/>
      <c r="DC392" s="280"/>
      <c r="DD392" s="280"/>
      <c r="DE392" s="280"/>
      <c r="DF392" s="280"/>
      <c r="DG392" s="280"/>
      <c r="DH392" s="280"/>
      <c r="DI392" s="280"/>
      <c r="DJ392" s="280"/>
      <c r="DK392" s="280"/>
      <c r="DL392" s="280"/>
      <c r="DM392" s="280"/>
      <c r="DN392" s="280"/>
      <c r="DO392" s="280"/>
      <c r="DP392" s="280"/>
      <c r="DQ392" s="280"/>
      <c r="DR392" s="280"/>
      <c r="DS392" s="280"/>
      <c r="DT392" s="280"/>
      <c r="DU392" s="280"/>
      <c r="DV392" s="280"/>
      <c r="DW392" s="280"/>
      <c r="DX392" s="280"/>
      <c r="DY392" s="280"/>
      <c r="DZ392" s="280"/>
      <c r="EA392" s="280"/>
      <c r="EB392" s="280"/>
      <c r="EC392" s="280"/>
      <c r="ED392" s="280"/>
      <c r="EE392" s="280"/>
      <c r="EF392" s="280"/>
      <c r="EG392" s="280"/>
      <c r="EH392" s="280"/>
      <c r="EI392" s="280"/>
      <c r="EJ392" s="280"/>
      <c r="EK392" s="280"/>
      <c r="EL392" s="280"/>
      <c r="EM392" s="280"/>
      <c r="EN392" s="280"/>
      <c r="EO392" s="280"/>
      <c r="EP392" s="521"/>
      <c r="EQ392" s="521"/>
      <c r="ER392" s="521"/>
      <c r="ES392" s="521"/>
      <c r="ET392" s="521"/>
      <c r="EU392" s="521"/>
      <c r="EV392" s="521"/>
      <c r="EW392" s="521"/>
      <c r="EX392" s="521"/>
      <c r="EY392" s="521"/>
      <c r="EZ392" s="521"/>
      <c r="FA392" s="521"/>
      <c r="FB392" s="521"/>
      <c r="FC392" s="521"/>
      <c r="FD392" s="521"/>
      <c r="FE392" s="521"/>
      <c r="FF392" s="521"/>
      <c r="FG392" s="521"/>
      <c r="FH392" s="567"/>
      <c r="FI392" s="567"/>
      <c r="FJ392" s="567"/>
      <c r="FK392" s="567"/>
      <c r="FL392" s="567"/>
      <c r="FM392" s="567"/>
      <c r="FN392" s="567"/>
      <c r="FO392" s="567"/>
    </row>
    <row r="393" spans="1:171" s="568" customFormat="1" ht="13.9" customHeight="1">
      <c r="A393" s="566"/>
      <c r="B393" s="566"/>
      <c r="C393" s="566"/>
      <c r="D393" s="569"/>
      <c r="E393" s="570"/>
      <c r="F393" s="571"/>
      <c r="G393" s="571"/>
      <c r="H393" s="571"/>
      <c r="I393" s="571"/>
      <c r="J393" s="571"/>
      <c r="K393" s="572"/>
      <c r="L393" s="569"/>
      <c r="M393" s="569"/>
      <c r="N393" s="569"/>
      <c r="O393" s="569"/>
      <c r="P393" s="566"/>
      <c r="Q393" s="566"/>
      <c r="R393" s="566"/>
      <c r="S393" s="566"/>
      <c r="T393" s="566"/>
      <c r="U393" s="566"/>
      <c r="V393" s="566"/>
      <c r="W393" s="566"/>
      <c r="X393" s="553"/>
      <c r="Y393" s="553"/>
      <c r="Z393" s="553"/>
      <c r="AA393" s="554"/>
      <c r="AB393" s="550"/>
      <c r="AC393" s="550"/>
      <c r="AD393" s="550"/>
      <c r="AE393" s="307"/>
      <c r="AF393" s="307"/>
      <c r="AG393" s="307"/>
      <c r="AH393" s="307"/>
      <c r="AI393" s="307"/>
      <c r="AJ393" s="307"/>
      <c r="AK393" s="307"/>
      <c r="AL393" s="307"/>
      <c r="AM393" s="307"/>
      <c r="AN393" s="307"/>
      <c r="AO393" s="307"/>
      <c r="AP393" s="307"/>
      <c r="AQ393" s="307"/>
      <c r="AR393" s="307"/>
      <c r="AS393" s="307"/>
      <c r="AT393" s="307"/>
      <c r="AU393" s="307"/>
      <c r="AV393" s="307"/>
      <c r="AW393" s="307"/>
      <c r="AX393" s="307"/>
      <c r="AY393" s="307"/>
      <c r="AZ393" s="307"/>
      <c r="BA393" s="307"/>
      <c r="BB393" s="307"/>
      <c r="BC393" s="307"/>
      <c r="BD393" s="307"/>
      <c r="BE393" s="307"/>
      <c r="BF393" s="307"/>
      <c r="BG393" s="307"/>
      <c r="BH393" s="307"/>
      <c r="BI393" s="307"/>
      <c r="BJ393" s="307"/>
      <c r="BK393" s="307"/>
      <c r="BL393" s="307"/>
      <c r="BM393" s="307"/>
      <c r="BN393" s="307"/>
      <c r="BO393" s="307"/>
      <c r="BP393" s="307"/>
      <c r="BQ393" s="307"/>
      <c r="BR393" s="307"/>
      <c r="BS393" s="307"/>
      <c r="BT393" s="307"/>
      <c r="BU393" s="307"/>
      <c r="BV393" s="307"/>
      <c r="BW393" s="307"/>
      <c r="BX393" s="307"/>
      <c r="BY393" s="307"/>
      <c r="BZ393" s="307"/>
      <c r="CA393" s="307"/>
      <c r="CB393" s="307"/>
      <c r="CC393" s="307"/>
      <c r="CD393" s="307"/>
      <c r="CE393" s="307"/>
      <c r="CF393" s="307"/>
      <c r="CG393" s="307"/>
      <c r="CH393" s="307"/>
      <c r="CI393" s="307"/>
      <c r="CJ393" s="307"/>
      <c r="CK393" s="307"/>
      <c r="CL393" s="307"/>
      <c r="CM393" s="307"/>
      <c r="CN393" s="307"/>
      <c r="CO393" s="307"/>
      <c r="CP393" s="307"/>
      <c r="CQ393" s="307"/>
      <c r="CR393" s="307"/>
      <c r="CS393" s="307"/>
      <c r="CT393" s="307"/>
      <c r="CU393" s="307"/>
      <c r="CV393" s="307"/>
      <c r="CW393" s="307"/>
      <c r="CX393" s="307"/>
      <c r="CY393" s="307"/>
      <c r="CZ393" s="307"/>
      <c r="DA393" s="307"/>
      <c r="DB393" s="280"/>
      <c r="DC393" s="280"/>
      <c r="DD393" s="280"/>
      <c r="DE393" s="280"/>
      <c r="DF393" s="280"/>
      <c r="DG393" s="280"/>
      <c r="DH393" s="280"/>
      <c r="DI393" s="280"/>
      <c r="DJ393" s="280"/>
      <c r="DK393" s="280"/>
      <c r="DL393" s="280"/>
      <c r="DM393" s="280"/>
      <c r="DN393" s="280"/>
      <c r="DO393" s="280"/>
      <c r="DP393" s="280"/>
      <c r="DQ393" s="280"/>
      <c r="DR393" s="280"/>
      <c r="DS393" s="280"/>
      <c r="DT393" s="280"/>
      <c r="DU393" s="280"/>
      <c r="DV393" s="280"/>
      <c r="DW393" s="280"/>
      <c r="DX393" s="280"/>
      <c r="DY393" s="280"/>
      <c r="DZ393" s="280"/>
      <c r="EA393" s="280"/>
      <c r="EB393" s="280"/>
      <c r="EC393" s="280"/>
      <c r="ED393" s="280"/>
      <c r="EE393" s="280"/>
      <c r="EF393" s="280"/>
      <c r="EG393" s="280"/>
      <c r="EH393" s="280"/>
      <c r="EI393" s="280"/>
      <c r="EJ393" s="280"/>
      <c r="EK393" s="280"/>
      <c r="EL393" s="280"/>
      <c r="EM393" s="280"/>
      <c r="EN393" s="280"/>
      <c r="EO393" s="280"/>
      <c r="EP393" s="521"/>
      <c r="EQ393" s="521"/>
      <c r="ER393" s="521"/>
      <c r="ES393" s="521"/>
      <c r="ET393" s="521"/>
      <c r="EU393" s="521"/>
      <c r="EV393" s="521"/>
      <c r="EW393" s="521"/>
      <c r="EX393" s="521"/>
      <c r="EY393" s="521"/>
      <c r="EZ393" s="521"/>
      <c r="FA393" s="521"/>
      <c r="FB393" s="521"/>
      <c r="FC393" s="521"/>
      <c r="FD393" s="521"/>
      <c r="FE393" s="521"/>
      <c r="FF393" s="521"/>
      <c r="FG393" s="521"/>
      <c r="FH393" s="567"/>
      <c r="FI393" s="567"/>
      <c r="FJ393" s="567"/>
      <c r="FK393" s="567"/>
      <c r="FL393" s="567"/>
      <c r="FM393" s="567"/>
      <c r="FN393" s="567"/>
      <c r="FO393" s="567"/>
    </row>
    <row r="394" spans="1:171" s="568" customFormat="1" ht="13.9" customHeight="1">
      <c r="A394" s="566"/>
      <c r="B394" s="566"/>
      <c r="C394" s="566"/>
      <c r="D394" s="569"/>
      <c r="E394" s="570"/>
      <c r="F394" s="571"/>
      <c r="G394" s="571"/>
      <c r="H394" s="571"/>
      <c r="I394" s="571"/>
      <c r="J394" s="571"/>
      <c r="K394" s="572"/>
      <c r="L394" s="569"/>
      <c r="M394" s="569"/>
      <c r="N394" s="569"/>
      <c r="O394" s="569"/>
      <c r="P394" s="566"/>
      <c r="Q394" s="566"/>
      <c r="R394" s="566"/>
      <c r="S394" s="566"/>
      <c r="T394" s="566"/>
      <c r="U394" s="566"/>
      <c r="V394" s="566"/>
      <c r="W394" s="566"/>
      <c r="X394" s="553"/>
      <c r="Y394" s="553"/>
      <c r="Z394" s="553"/>
      <c r="AA394" s="554"/>
      <c r="AB394" s="550"/>
      <c r="AC394" s="550"/>
      <c r="AD394" s="550"/>
      <c r="AE394" s="307"/>
      <c r="AF394" s="307"/>
      <c r="AG394" s="307"/>
      <c r="AH394" s="307"/>
      <c r="AI394" s="307"/>
      <c r="AJ394" s="307"/>
      <c r="AK394" s="307"/>
      <c r="AL394" s="307"/>
      <c r="AM394" s="307"/>
      <c r="AN394" s="307"/>
      <c r="AO394" s="307"/>
      <c r="AP394" s="307"/>
      <c r="AQ394" s="307"/>
      <c r="AR394" s="307"/>
      <c r="AS394" s="307"/>
      <c r="AT394" s="307"/>
      <c r="AU394" s="307"/>
      <c r="AV394" s="307"/>
      <c r="AW394" s="307"/>
      <c r="AX394" s="307"/>
      <c r="AY394" s="307"/>
      <c r="AZ394" s="307"/>
      <c r="BA394" s="307"/>
      <c r="BB394" s="307"/>
      <c r="BC394" s="307"/>
      <c r="BD394" s="307"/>
      <c r="BE394" s="307"/>
      <c r="BF394" s="307"/>
      <c r="BG394" s="307"/>
      <c r="BH394" s="307"/>
      <c r="BI394" s="307"/>
      <c r="BJ394" s="307"/>
      <c r="BK394" s="307"/>
      <c r="BL394" s="307"/>
      <c r="BM394" s="307"/>
      <c r="BN394" s="307"/>
      <c r="BO394" s="307"/>
      <c r="BP394" s="307"/>
      <c r="BQ394" s="307"/>
      <c r="BR394" s="307"/>
      <c r="BS394" s="307"/>
      <c r="BT394" s="307"/>
      <c r="BU394" s="307"/>
      <c r="BV394" s="307"/>
      <c r="BW394" s="307"/>
      <c r="BX394" s="307"/>
      <c r="BY394" s="307"/>
      <c r="BZ394" s="307"/>
      <c r="CA394" s="307"/>
      <c r="CB394" s="307"/>
      <c r="CC394" s="307"/>
      <c r="CD394" s="307"/>
      <c r="CE394" s="307"/>
      <c r="CF394" s="307"/>
      <c r="CG394" s="307"/>
      <c r="CH394" s="307"/>
      <c r="CI394" s="307"/>
      <c r="CJ394" s="307"/>
      <c r="CK394" s="307"/>
      <c r="CL394" s="307"/>
      <c r="CM394" s="307"/>
      <c r="CN394" s="307"/>
      <c r="CO394" s="307"/>
      <c r="CP394" s="307"/>
      <c r="CQ394" s="307"/>
      <c r="CR394" s="307"/>
      <c r="CS394" s="307"/>
      <c r="CT394" s="307"/>
      <c r="CU394" s="307"/>
      <c r="CV394" s="307"/>
      <c r="CW394" s="307"/>
      <c r="CX394" s="307"/>
      <c r="CY394" s="307"/>
      <c r="CZ394" s="307"/>
      <c r="DA394" s="307"/>
      <c r="DB394" s="280"/>
      <c r="DC394" s="280"/>
      <c r="DD394" s="280"/>
      <c r="DE394" s="280"/>
      <c r="DF394" s="280"/>
      <c r="DG394" s="280"/>
      <c r="DH394" s="280"/>
      <c r="DI394" s="280"/>
      <c r="DJ394" s="280"/>
      <c r="DK394" s="280"/>
      <c r="DL394" s="280"/>
      <c r="DM394" s="280"/>
      <c r="DN394" s="280"/>
      <c r="DO394" s="280"/>
      <c r="DP394" s="280"/>
      <c r="DQ394" s="280"/>
      <c r="DR394" s="280"/>
      <c r="DS394" s="280"/>
      <c r="DT394" s="280"/>
      <c r="DU394" s="280"/>
      <c r="DV394" s="280"/>
      <c r="DW394" s="280"/>
      <c r="DX394" s="280"/>
      <c r="DY394" s="280"/>
      <c r="DZ394" s="280"/>
      <c r="EA394" s="280"/>
      <c r="EB394" s="280"/>
      <c r="EC394" s="280"/>
      <c r="ED394" s="280"/>
      <c r="EE394" s="280"/>
      <c r="EF394" s="280"/>
      <c r="EG394" s="280"/>
      <c r="EH394" s="280"/>
      <c r="EI394" s="280"/>
      <c r="EJ394" s="280"/>
      <c r="EK394" s="280"/>
      <c r="EL394" s="280"/>
      <c r="EM394" s="280"/>
      <c r="EN394" s="280"/>
      <c r="EO394" s="280"/>
      <c r="EP394" s="521"/>
      <c r="EQ394" s="521"/>
      <c r="ER394" s="521"/>
      <c r="ES394" s="521"/>
      <c r="ET394" s="521"/>
      <c r="EU394" s="521"/>
      <c r="EV394" s="521"/>
      <c r="EW394" s="521"/>
      <c r="EX394" s="521"/>
      <c r="EY394" s="521"/>
      <c r="EZ394" s="521"/>
      <c r="FA394" s="521"/>
      <c r="FB394" s="521"/>
      <c r="FC394" s="521"/>
      <c r="FD394" s="521"/>
      <c r="FE394" s="521"/>
      <c r="FF394" s="521"/>
      <c r="FG394" s="521"/>
      <c r="FH394" s="567"/>
      <c r="FI394" s="567"/>
      <c r="FJ394" s="567"/>
      <c r="FK394" s="567"/>
      <c r="FL394" s="567"/>
      <c r="FM394" s="567"/>
      <c r="FN394" s="567"/>
      <c r="FO394" s="567"/>
    </row>
    <row r="395" spans="1:171" s="568" customFormat="1" ht="13.9" customHeight="1">
      <c r="A395" s="566"/>
      <c r="B395" s="566"/>
      <c r="C395" s="566"/>
      <c r="D395" s="569"/>
      <c r="E395" s="570"/>
      <c r="F395" s="571"/>
      <c r="G395" s="571"/>
      <c r="H395" s="571"/>
      <c r="I395" s="571"/>
      <c r="J395" s="571"/>
      <c r="K395" s="572"/>
      <c r="L395" s="569"/>
      <c r="M395" s="569"/>
      <c r="N395" s="569"/>
      <c r="O395" s="569"/>
      <c r="P395" s="566"/>
      <c r="Q395" s="566"/>
      <c r="R395" s="566"/>
      <c r="S395" s="566"/>
      <c r="T395" s="566"/>
      <c r="U395" s="566"/>
      <c r="V395" s="566"/>
      <c r="W395" s="566"/>
      <c r="X395" s="553"/>
      <c r="Y395" s="553"/>
      <c r="Z395" s="553"/>
      <c r="AA395" s="554"/>
      <c r="AB395" s="550"/>
      <c r="AC395" s="550"/>
      <c r="AD395" s="550"/>
      <c r="AE395" s="307"/>
      <c r="AF395" s="307"/>
      <c r="AG395" s="307"/>
      <c r="AH395" s="307"/>
      <c r="AI395" s="307"/>
      <c r="AJ395" s="307"/>
      <c r="AK395" s="307"/>
      <c r="AL395" s="307"/>
      <c r="AM395" s="307"/>
      <c r="AN395" s="307"/>
      <c r="AO395" s="307"/>
      <c r="AP395" s="307"/>
      <c r="AQ395" s="307"/>
      <c r="AR395" s="307"/>
      <c r="AS395" s="307"/>
      <c r="AT395" s="307"/>
      <c r="AU395" s="307"/>
      <c r="AV395" s="307"/>
      <c r="AW395" s="307"/>
      <c r="AX395" s="307"/>
      <c r="AY395" s="307"/>
      <c r="AZ395" s="307"/>
      <c r="BA395" s="307"/>
      <c r="BB395" s="307"/>
      <c r="BC395" s="307"/>
      <c r="BD395" s="307"/>
      <c r="BE395" s="307"/>
      <c r="BF395" s="307"/>
      <c r="BG395" s="307"/>
      <c r="BH395" s="307"/>
      <c r="BI395" s="307"/>
      <c r="BJ395" s="307"/>
      <c r="BK395" s="307"/>
      <c r="BL395" s="307"/>
      <c r="BM395" s="307"/>
      <c r="BN395" s="307"/>
      <c r="BO395" s="307"/>
      <c r="BP395" s="307"/>
      <c r="BQ395" s="307"/>
      <c r="BR395" s="307"/>
      <c r="BS395" s="307"/>
      <c r="BT395" s="307"/>
      <c r="BU395" s="307"/>
      <c r="BV395" s="307"/>
      <c r="BW395" s="307"/>
      <c r="BX395" s="307"/>
      <c r="BY395" s="307"/>
      <c r="BZ395" s="307"/>
      <c r="CA395" s="307"/>
      <c r="CB395" s="307"/>
      <c r="CC395" s="307"/>
      <c r="CD395" s="307"/>
      <c r="CE395" s="307"/>
      <c r="CF395" s="307"/>
      <c r="CG395" s="307"/>
      <c r="CH395" s="307"/>
      <c r="CI395" s="307"/>
      <c r="CJ395" s="307"/>
      <c r="CK395" s="307"/>
      <c r="CL395" s="307"/>
      <c r="CM395" s="307"/>
      <c r="CN395" s="307"/>
      <c r="CO395" s="307"/>
      <c r="CP395" s="307"/>
      <c r="CQ395" s="307"/>
      <c r="CR395" s="307"/>
      <c r="CS395" s="307"/>
      <c r="CT395" s="307"/>
      <c r="CU395" s="307"/>
      <c r="CV395" s="307"/>
      <c r="CW395" s="307"/>
      <c r="CX395" s="307"/>
      <c r="CY395" s="307"/>
      <c r="CZ395" s="307"/>
      <c r="DA395" s="307"/>
      <c r="DB395" s="280"/>
      <c r="DC395" s="280"/>
      <c r="DD395" s="280"/>
      <c r="DE395" s="280"/>
      <c r="DF395" s="280"/>
      <c r="DG395" s="280"/>
      <c r="DH395" s="280"/>
      <c r="DI395" s="280"/>
      <c r="DJ395" s="280"/>
      <c r="DK395" s="280"/>
      <c r="DL395" s="280"/>
      <c r="DM395" s="280"/>
      <c r="DN395" s="280"/>
      <c r="DO395" s="280"/>
      <c r="DP395" s="280"/>
      <c r="DQ395" s="280"/>
      <c r="DR395" s="280"/>
      <c r="DS395" s="280"/>
      <c r="DT395" s="280"/>
      <c r="DU395" s="280"/>
      <c r="DV395" s="280"/>
      <c r="DW395" s="280"/>
      <c r="DX395" s="280"/>
      <c r="DY395" s="280"/>
      <c r="DZ395" s="280"/>
      <c r="EA395" s="280"/>
      <c r="EB395" s="280"/>
      <c r="EC395" s="280"/>
      <c r="ED395" s="280"/>
      <c r="EE395" s="280"/>
      <c r="EF395" s="280"/>
      <c r="EG395" s="280"/>
      <c r="EH395" s="280"/>
      <c r="EI395" s="280"/>
      <c r="EJ395" s="280"/>
      <c r="EK395" s="280"/>
      <c r="EL395" s="280"/>
      <c r="EM395" s="280"/>
      <c r="EN395" s="280"/>
      <c r="EO395" s="280"/>
      <c r="EP395" s="521"/>
      <c r="EQ395" s="521"/>
      <c r="ER395" s="521"/>
      <c r="ES395" s="521"/>
      <c r="ET395" s="521"/>
      <c r="EU395" s="521"/>
      <c r="EV395" s="521"/>
      <c r="EW395" s="521"/>
      <c r="EX395" s="521"/>
      <c r="EY395" s="521"/>
      <c r="EZ395" s="521"/>
      <c r="FA395" s="521"/>
      <c r="FB395" s="521"/>
      <c r="FC395" s="521"/>
      <c r="FD395" s="521"/>
      <c r="FE395" s="521"/>
      <c r="FF395" s="521"/>
      <c r="FG395" s="521"/>
      <c r="FH395" s="567"/>
      <c r="FI395" s="567"/>
      <c r="FJ395" s="567"/>
      <c r="FK395" s="567"/>
      <c r="FL395" s="567"/>
      <c r="FM395" s="567"/>
      <c r="FN395" s="567"/>
      <c r="FO395" s="567"/>
    </row>
    <row r="396" spans="1:171" s="568" customFormat="1" ht="13.9" customHeight="1">
      <c r="A396" s="566"/>
      <c r="B396" s="566"/>
      <c r="C396" s="566"/>
      <c r="D396" s="569"/>
      <c r="E396" s="570"/>
      <c r="F396" s="571"/>
      <c r="G396" s="571"/>
      <c r="H396" s="571"/>
      <c r="I396" s="571"/>
      <c r="J396" s="571"/>
      <c r="K396" s="572"/>
      <c r="L396" s="569"/>
      <c r="M396" s="569"/>
      <c r="N396" s="569"/>
      <c r="O396" s="569"/>
      <c r="P396" s="566"/>
      <c r="Q396" s="566"/>
      <c r="R396" s="566"/>
      <c r="S396" s="566"/>
      <c r="T396" s="566"/>
      <c r="U396" s="566"/>
      <c r="V396" s="566"/>
      <c r="W396" s="566"/>
      <c r="X396" s="553"/>
      <c r="Y396" s="553"/>
      <c r="Z396" s="553"/>
      <c r="AA396" s="554"/>
      <c r="AB396" s="550"/>
      <c r="AC396" s="550"/>
      <c r="AD396" s="550"/>
      <c r="AE396" s="307"/>
      <c r="AF396" s="307"/>
      <c r="AG396" s="307"/>
      <c r="AH396" s="307"/>
      <c r="AI396" s="307"/>
      <c r="AJ396" s="307"/>
      <c r="AK396" s="307"/>
      <c r="AL396" s="307"/>
      <c r="AM396" s="307"/>
      <c r="AN396" s="307"/>
      <c r="AO396" s="307"/>
      <c r="AP396" s="307"/>
      <c r="AQ396" s="307"/>
      <c r="AR396" s="307"/>
      <c r="AS396" s="307"/>
      <c r="AT396" s="307"/>
      <c r="AU396" s="307"/>
      <c r="AV396" s="307"/>
      <c r="AW396" s="307"/>
      <c r="AX396" s="307"/>
      <c r="AY396" s="307"/>
      <c r="AZ396" s="307"/>
      <c r="BA396" s="307"/>
      <c r="BB396" s="307"/>
      <c r="BC396" s="307"/>
      <c r="BD396" s="307"/>
      <c r="BE396" s="307"/>
      <c r="BF396" s="307"/>
      <c r="BG396" s="307"/>
      <c r="BH396" s="307"/>
      <c r="BI396" s="307"/>
      <c r="BJ396" s="307"/>
      <c r="BK396" s="307"/>
      <c r="BL396" s="307"/>
      <c r="BM396" s="307"/>
      <c r="BN396" s="307"/>
      <c r="BO396" s="307"/>
      <c r="BP396" s="307"/>
      <c r="BQ396" s="307"/>
      <c r="BR396" s="307"/>
      <c r="BS396" s="307"/>
      <c r="BT396" s="307"/>
      <c r="BU396" s="307"/>
      <c r="BV396" s="307"/>
      <c r="BW396" s="307"/>
      <c r="BX396" s="307"/>
      <c r="BY396" s="307"/>
      <c r="BZ396" s="307"/>
      <c r="CA396" s="307"/>
      <c r="CB396" s="307"/>
      <c r="CC396" s="307"/>
      <c r="CD396" s="307"/>
      <c r="CE396" s="307"/>
      <c r="CF396" s="307"/>
      <c r="CG396" s="307"/>
      <c r="CH396" s="307"/>
      <c r="CI396" s="307"/>
      <c r="CJ396" s="307"/>
      <c r="CK396" s="307"/>
      <c r="CL396" s="307"/>
      <c r="CM396" s="307"/>
      <c r="CN396" s="307"/>
      <c r="CO396" s="307"/>
      <c r="CP396" s="307"/>
      <c r="CQ396" s="307"/>
      <c r="CR396" s="307"/>
      <c r="CS396" s="307"/>
      <c r="CT396" s="307"/>
      <c r="CU396" s="307"/>
      <c r="CV396" s="307"/>
      <c r="CW396" s="307"/>
      <c r="CX396" s="307"/>
      <c r="CY396" s="307"/>
      <c r="CZ396" s="307"/>
      <c r="DA396" s="307"/>
      <c r="DB396" s="280"/>
      <c r="DC396" s="280"/>
      <c r="DD396" s="280"/>
      <c r="DE396" s="280"/>
      <c r="DF396" s="280"/>
      <c r="DG396" s="280"/>
      <c r="DH396" s="280"/>
      <c r="DI396" s="280"/>
      <c r="DJ396" s="280"/>
      <c r="DK396" s="280"/>
      <c r="DL396" s="280"/>
      <c r="DM396" s="280"/>
      <c r="DN396" s="280"/>
      <c r="DO396" s="280"/>
      <c r="DP396" s="280"/>
      <c r="DQ396" s="280"/>
      <c r="DR396" s="280"/>
      <c r="DS396" s="280"/>
      <c r="DT396" s="280"/>
      <c r="DU396" s="280"/>
      <c r="DV396" s="280"/>
      <c r="DW396" s="280"/>
      <c r="DX396" s="280"/>
      <c r="DY396" s="280"/>
      <c r="DZ396" s="280"/>
      <c r="EA396" s="280"/>
      <c r="EB396" s="280"/>
      <c r="EC396" s="280"/>
      <c r="ED396" s="280"/>
      <c r="EE396" s="280"/>
      <c r="EF396" s="280"/>
      <c r="EG396" s="280"/>
      <c r="EH396" s="280"/>
      <c r="EI396" s="280"/>
      <c r="EJ396" s="280"/>
      <c r="EK396" s="280"/>
      <c r="EL396" s="280"/>
      <c r="EM396" s="280"/>
      <c r="EN396" s="280"/>
      <c r="EO396" s="280"/>
      <c r="EP396" s="521"/>
      <c r="EQ396" s="521"/>
      <c r="ER396" s="521"/>
      <c r="ES396" s="521"/>
      <c r="ET396" s="521"/>
      <c r="EU396" s="521"/>
      <c r="EV396" s="521"/>
      <c r="EW396" s="521"/>
      <c r="EX396" s="521"/>
      <c r="EY396" s="521"/>
      <c r="EZ396" s="521"/>
      <c r="FA396" s="521"/>
      <c r="FB396" s="521"/>
      <c r="FC396" s="521"/>
      <c r="FD396" s="521"/>
      <c r="FE396" s="521"/>
      <c r="FF396" s="521"/>
      <c r="FG396" s="521"/>
      <c r="FH396" s="567"/>
      <c r="FI396" s="567"/>
      <c r="FJ396" s="567"/>
      <c r="FK396" s="567"/>
      <c r="FL396" s="567"/>
      <c r="FM396" s="567"/>
      <c r="FN396" s="567"/>
      <c r="FO396" s="567"/>
    </row>
    <row r="397" spans="1:171" s="568" customFormat="1" ht="13.9" customHeight="1">
      <c r="A397" s="566"/>
      <c r="B397" s="566"/>
      <c r="C397" s="566"/>
      <c r="D397" s="569"/>
      <c r="E397" s="570"/>
      <c r="F397" s="571"/>
      <c r="G397" s="571"/>
      <c r="H397" s="571"/>
      <c r="I397" s="571"/>
      <c r="J397" s="571"/>
      <c r="K397" s="572"/>
      <c r="L397" s="569"/>
      <c r="M397" s="569"/>
      <c r="N397" s="569"/>
      <c r="O397" s="569"/>
      <c r="P397" s="566"/>
      <c r="Q397" s="566"/>
      <c r="R397" s="566"/>
      <c r="S397" s="566"/>
      <c r="T397" s="566"/>
      <c r="U397" s="566"/>
      <c r="V397" s="566"/>
      <c r="W397" s="566"/>
      <c r="X397" s="553"/>
      <c r="Y397" s="553"/>
      <c r="Z397" s="553"/>
      <c r="AA397" s="554"/>
      <c r="AB397" s="550"/>
      <c r="AC397" s="550"/>
      <c r="AD397" s="550"/>
      <c r="AE397" s="307"/>
      <c r="AF397" s="307"/>
      <c r="AG397" s="307"/>
      <c r="AH397" s="307"/>
      <c r="AI397" s="307"/>
      <c r="AJ397" s="307"/>
      <c r="AK397" s="307"/>
      <c r="AL397" s="307"/>
      <c r="AM397" s="307"/>
      <c r="AN397" s="307"/>
      <c r="AO397" s="307"/>
      <c r="AP397" s="307"/>
      <c r="AQ397" s="307"/>
      <c r="AR397" s="307"/>
      <c r="AS397" s="307"/>
      <c r="AT397" s="307"/>
      <c r="AU397" s="307"/>
      <c r="AV397" s="307"/>
      <c r="AW397" s="307"/>
      <c r="AX397" s="307"/>
      <c r="AY397" s="307"/>
      <c r="AZ397" s="307"/>
      <c r="BA397" s="307"/>
      <c r="BB397" s="307"/>
      <c r="BC397" s="307"/>
      <c r="BD397" s="307"/>
      <c r="BE397" s="307"/>
      <c r="BF397" s="307"/>
      <c r="BG397" s="307"/>
      <c r="BH397" s="307"/>
      <c r="BI397" s="307"/>
      <c r="BJ397" s="307"/>
      <c r="BK397" s="307"/>
      <c r="BL397" s="307"/>
      <c r="BM397" s="307"/>
      <c r="BN397" s="307"/>
      <c r="BO397" s="307"/>
      <c r="BP397" s="307"/>
      <c r="BQ397" s="307"/>
      <c r="BR397" s="307"/>
      <c r="BS397" s="307"/>
      <c r="BT397" s="307"/>
      <c r="BU397" s="307"/>
      <c r="BV397" s="307"/>
      <c r="BW397" s="307"/>
      <c r="BX397" s="307"/>
      <c r="BY397" s="307"/>
      <c r="BZ397" s="307"/>
      <c r="CA397" s="307"/>
      <c r="CB397" s="307"/>
      <c r="CC397" s="307"/>
      <c r="CD397" s="307"/>
      <c r="CE397" s="307"/>
      <c r="CF397" s="307"/>
      <c r="CG397" s="307"/>
      <c r="CH397" s="307"/>
      <c r="CI397" s="307"/>
      <c r="CJ397" s="307"/>
      <c r="CK397" s="307"/>
      <c r="CL397" s="307"/>
      <c r="CM397" s="307"/>
      <c r="CN397" s="307"/>
      <c r="CO397" s="307"/>
      <c r="CP397" s="307"/>
      <c r="CQ397" s="307"/>
      <c r="CR397" s="307"/>
      <c r="CS397" s="307"/>
      <c r="CT397" s="307"/>
      <c r="CU397" s="307"/>
      <c r="CV397" s="307"/>
      <c r="CW397" s="307"/>
      <c r="CX397" s="307"/>
      <c r="CY397" s="307"/>
      <c r="CZ397" s="307"/>
      <c r="DA397" s="307"/>
      <c r="DB397" s="280"/>
      <c r="DC397" s="280"/>
      <c r="DD397" s="280"/>
      <c r="DE397" s="280"/>
      <c r="DF397" s="280"/>
      <c r="DG397" s="280"/>
      <c r="DH397" s="280"/>
      <c r="DI397" s="280"/>
      <c r="DJ397" s="280"/>
      <c r="DK397" s="280"/>
      <c r="DL397" s="280"/>
      <c r="DM397" s="280"/>
      <c r="DN397" s="280"/>
      <c r="DO397" s="280"/>
      <c r="DP397" s="280"/>
      <c r="DQ397" s="280"/>
      <c r="DR397" s="280"/>
      <c r="DS397" s="280"/>
      <c r="DT397" s="280"/>
      <c r="DU397" s="280"/>
      <c r="DV397" s="280"/>
      <c r="DW397" s="280"/>
      <c r="DX397" s="280"/>
      <c r="DY397" s="280"/>
      <c r="DZ397" s="280"/>
      <c r="EA397" s="280"/>
      <c r="EB397" s="280"/>
      <c r="EC397" s="280"/>
      <c r="ED397" s="280"/>
      <c r="EE397" s="280"/>
      <c r="EF397" s="280"/>
      <c r="EG397" s="280"/>
      <c r="EH397" s="280"/>
      <c r="EI397" s="280"/>
      <c r="EJ397" s="280"/>
      <c r="EK397" s="280"/>
      <c r="EL397" s="280"/>
      <c r="EM397" s="280"/>
      <c r="EN397" s="280"/>
      <c r="EO397" s="280"/>
      <c r="EP397" s="521"/>
      <c r="EQ397" s="521"/>
      <c r="ER397" s="521"/>
      <c r="ES397" s="521"/>
      <c r="ET397" s="521"/>
      <c r="EU397" s="521"/>
      <c r="EV397" s="521"/>
      <c r="EW397" s="521"/>
      <c r="EX397" s="521"/>
      <c r="EY397" s="521"/>
      <c r="EZ397" s="521"/>
      <c r="FA397" s="521"/>
      <c r="FB397" s="521"/>
      <c r="FC397" s="521"/>
      <c r="FD397" s="521"/>
      <c r="FE397" s="521"/>
      <c r="FF397" s="521"/>
      <c r="FG397" s="521"/>
      <c r="FH397" s="567"/>
      <c r="FI397" s="567"/>
      <c r="FJ397" s="567"/>
      <c r="FK397" s="567"/>
      <c r="FL397" s="567"/>
      <c r="FM397" s="567"/>
      <c r="FN397" s="567"/>
      <c r="FO397" s="567"/>
    </row>
    <row r="398" spans="1:171" s="568" customFormat="1" ht="13.9" customHeight="1">
      <c r="A398" s="566"/>
      <c r="B398" s="566"/>
      <c r="C398" s="566"/>
      <c r="D398" s="569"/>
      <c r="E398" s="570"/>
      <c r="F398" s="571"/>
      <c r="G398" s="571"/>
      <c r="H398" s="571"/>
      <c r="I398" s="571"/>
      <c r="J398" s="571"/>
      <c r="K398" s="572"/>
      <c r="L398" s="569"/>
      <c r="M398" s="569"/>
      <c r="N398" s="569"/>
      <c r="O398" s="569"/>
      <c r="P398" s="566"/>
      <c r="Q398" s="566"/>
      <c r="R398" s="566"/>
      <c r="S398" s="566"/>
      <c r="T398" s="566"/>
      <c r="U398" s="566"/>
      <c r="V398" s="566"/>
      <c r="W398" s="566"/>
      <c r="X398" s="553"/>
      <c r="Y398" s="553"/>
      <c r="Z398" s="553"/>
      <c r="AA398" s="554"/>
      <c r="AB398" s="550"/>
      <c r="AC398" s="550"/>
      <c r="AD398" s="550"/>
      <c r="AE398" s="307"/>
      <c r="AF398" s="307"/>
      <c r="AG398" s="307"/>
      <c r="AH398" s="307"/>
      <c r="AI398" s="307"/>
      <c r="AJ398" s="307"/>
      <c r="AK398" s="307"/>
      <c r="AL398" s="307"/>
      <c r="AM398" s="307"/>
      <c r="AN398" s="307"/>
      <c r="AO398" s="307"/>
      <c r="AP398" s="307"/>
      <c r="AQ398" s="307"/>
      <c r="AR398" s="307"/>
      <c r="AS398" s="307"/>
      <c r="AT398" s="307"/>
      <c r="AU398" s="307"/>
      <c r="AV398" s="307"/>
      <c r="AW398" s="307"/>
      <c r="AX398" s="307"/>
      <c r="AY398" s="307"/>
      <c r="AZ398" s="307"/>
      <c r="BA398" s="307"/>
      <c r="BB398" s="307"/>
      <c r="BC398" s="307"/>
      <c r="BD398" s="307"/>
      <c r="BE398" s="307"/>
      <c r="BF398" s="307"/>
      <c r="BG398" s="307"/>
      <c r="BH398" s="307"/>
      <c r="BI398" s="307"/>
      <c r="BJ398" s="307"/>
      <c r="BK398" s="307"/>
      <c r="BL398" s="307"/>
      <c r="BM398" s="307"/>
      <c r="BN398" s="307"/>
      <c r="BO398" s="307"/>
      <c r="BP398" s="307"/>
      <c r="BQ398" s="307"/>
      <c r="BR398" s="307"/>
      <c r="BS398" s="307"/>
      <c r="BT398" s="307"/>
      <c r="BU398" s="307"/>
      <c r="BV398" s="307"/>
      <c r="BW398" s="307"/>
      <c r="BX398" s="307"/>
      <c r="BY398" s="307"/>
      <c r="BZ398" s="307"/>
      <c r="CA398" s="307"/>
      <c r="CB398" s="307"/>
      <c r="CC398" s="307"/>
      <c r="CD398" s="307"/>
      <c r="CE398" s="307"/>
      <c r="CF398" s="307"/>
      <c r="CG398" s="307"/>
      <c r="CH398" s="307"/>
      <c r="CI398" s="307"/>
      <c r="CJ398" s="307"/>
      <c r="CK398" s="307"/>
      <c r="CL398" s="307"/>
      <c r="CM398" s="307"/>
      <c r="CN398" s="307"/>
      <c r="CO398" s="307"/>
      <c r="CP398" s="307"/>
      <c r="CQ398" s="307"/>
      <c r="CR398" s="307"/>
      <c r="CS398" s="307"/>
      <c r="CT398" s="307"/>
      <c r="CU398" s="307"/>
      <c r="CV398" s="307"/>
      <c r="CW398" s="307"/>
      <c r="CX398" s="307"/>
      <c r="CY398" s="307"/>
      <c r="CZ398" s="307"/>
      <c r="DA398" s="307"/>
      <c r="DB398" s="280"/>
      <c r="DC398" s="280"/>
      <c r="DD398" s="280"/>
      <c r="DE398" s="280"/>
      <c r="DF398" s="280"/>
      <c r="DG398" s="280"/>
      <c r="DH398" s="280"/>
      <c r="DI398" s="280"/>
      <c r="DJ398" s="280"/>
      <c r="DK398" s="280"/>
      <c r="DL398" s="280"/>
      <c r="DM398" s="280"/>
      <c r="DN398" s="280"/>
      <c r="DO398" s="280"/>
      <c r="DP398" s="280"/>
      <c r="DQ398" s="280"/>
      <c r="DR398" s="280"/>
      <c r="DS398" s="280"/>
      <c r="DT398" s="280"/>
      <c r="DU398" s="280"/>
      <c r="DV398" s="280"/>
      <c r="DW398" s="280"/>
      <c r="DX398" s="280"/>
      <c r="DY398" s="280"/>
      <c r="DZ398" s="280"/>
      <c r="EA398" s="280"/>
      <c r="EB398" s="280"/>
      <c r="EC398" s="280"/>
      <c r="ED398" s="280"/>
      <c r="EE398" s="280"/>
      <c r="EF398" s="280"/>
      <c r="EG398" s="280"/>
      <c r="EH398" s="280"/>
      <c r="EI398" s="280"/>
      <c r="EJ398" s="280"/>
      <c r="EK398" s="280"/>
      <c r="EL398" s="280"/>
      <c r="EM398" s="280"/>
      <c r="EN398" s="280"/>
      <c r="EO398" s="280"/>
      <c r="EP398" s="521"/>
      <c r="EQ398" s="521"/>
      <c r="ER398" s="521"/>
      <c r="ES398" s="521"/>
      <c r="ET398" s="521"/>
      <c r="EU398" s="521"/>
      <c r="EV398" s="521"/>
      <c r="EW398" s="521"/>
      <c r="EX398" s="521"/>
      <c r="EY398" s="521"/>
      <c r="EZ398" s="521"/>
      <c r="FA398" s="521"/>
      <c r="FB398" s="521"/>
      <c r="FC398" s="521"/>
      <c r="FD398" s="521"/>
      <c r="FE398" s="521"/>
      <c r="FF398" s="521"/>
      <c r="FG398" s="521"/>
      <c r="FH398" s="567"/>
      <c r="FI398" s="567"/>
      <c r="FJ398" s="567"/>
      <c r="FK398" s="567"/>
      <c r="FL398" s="567"/>
      <c r="FM398" s="567"/>
      <c r="FN398" s="567"/>
      <c r="FO398" s="567"/>
    </row>
    <row r="399" spans="1:171" s="568" customFormat="1" ht="13.9" customHeight="1">
      <c r="A399" s="566"/>
      <c r="B399" s="566"/>
      <c r="C399" s="566"/>
      <c r="D399" s="569"/>
      <c r="E399" s="570"/>
      <c r="F399" s="571"/>
      <c r="G399" s="571"/>
      <c r="H399" s="571"/>
      <c r="I399" s="571"/>
      <c r="J399" s="571"/>
      <c r="K399" s="572"/>
      <c r="L399" s="569"/>
      <c r="M399" s="569"/>
      <c r="N399" s="569"/>
      <c r="O399" s="569"/>
      <c r="P399" s="566"/>
      <c r="Q399" s="566"/>
      <c r="R399" s="566"/>
      <c r="S399" s="566"/>
      <c r="T399" s="566"/>
      <c r="U399" s="566"/>
      <c r="V399" s="566"/>
      <c r="W399" s="566"/>
      <c r="X399" s="553"/>
      <c r="Y399" s="553"/>
      <c r="Z399" s="553"/>
      <c r="AA399" s="554"/>
      <c r="AB399" s="550"/>
      <c r="AC399" s="550"/>
      <c r="AD399" s="550"/>
      <c r="AE399" s="307"/>
      <c r="AF399" s="307"/>
      <c r="AG399" s="307"/>
      <c r="AH399" s="307"/>
      <c r="AI399" s="307"/>
      <c r="AJ399" s="307"/>
      <c r="AK399" s="307"/>
      <c r="AL399" s="307"/>
      <c r="AM399" s="307"/>
      <c r="AN399" s="307"/>
      <c r="AO399" s="307"/>
      <c r="AP399" s="307"/>
      <c r="AQ399" s="307"/>
      <c r="AR399" s="307"/>
      <c r="AS399" s="307"/>
      <c r="AT399" s="307"/>
      <c r="AU399" s="307"/>
      <c r="AV399" s="307"/>
      <c r="AW399" s="307"/>
      <c r="AX399" s="307"/>
      <c r="AY399" s="307"/>
      <c r="AZ399" s="307"/>
      <c r="BA399" s="307"/>
      <c r="BB399" s="307"/>
      <c r="BC399" s="307"/>
      <c r="BD399" s="307"/>
      <c r="BE399" s="307"/>
      <c r="BF399" s="307"/>
      <c r="BG399" s="307"/>
      <c r="BH399" s="307"/>
      <c r="BI399" s="307"/>
      <c r="BJ399" s="307"/>
      <c r="BK399" s="307"/>
      <c r="BL399" s="307"/>
      <c r="BM399" s="307"/>
      <c r="BN399" s="307"/>
      <c r="BO399" s="307"/>
      <c r="BP399" s="307"/>
      <c r="BQ399" s="307"/>
      <c r="BR399" s="307"/>
      <c r="BS399" s="307"/>
      <c r="BT399" s="307"/>
      <c r="BU399" s="307"/>
      <c r="BV399" s="307"/>
      <c r="BW399" s="307"/>
      <c r="BX399" s="307"/>
      <c r="BY399" s="307"/>
      <c r="BZ399" s="307"/>
      <c r="CA399" s="307"/>
      <c r="CB399" s="307"/>
      <c r="CC399" s="307"/>
      <c r="CD399" s="307"/>
      <c r="CE399" s="307"/>
      <c r="CF399" s="307"/>
      <c r="CG399" s="307"/>
      <c r="CH399" s="307"/>
      <c r="CI399" s="307"/>
      <c r="CJ399" s="307"/>
      <c r="CK399" s="307"/>
      <c r="CL399" s="307"/>
      <c r="CM399" s="307"/>
      <c r="CN399" s="307"/>
      <c r="CO399" s="307"/>
      <c r="CP399" s="307"/>
      <c r="CQ399" s="307"/>
      <c r="CR399" s="307"/>
      <c r="CS399" s="307"/>
      <c r="CT399" s="307"/>
      <c r="CU399" s="307"/>
      <c r="CV399" s="307"/>
      <c r="CW399" s="307"/>
      <c r="CX399" s="307"/>
      <c r="CY399" s="307"/>
      <c r="CZ399" s="307"/>
      <c r="DA399" s="307"/>
      <c r="DB399" s="280"/>
      <c r="DC399" s="280"/>
      <c r="DD399" s="280"/>
      <c r="DE399" s="280"/>
      <c r="DF399" s="280"/>
      <c r="DG399" s="280"/>
      <c r="DH399" s="280"/>
      <c r="DI399" s="280"/>
      <c r="DJ399" s="280"/>
      <c r="DK399" s="280"/>
      <c r="DL399" s="280"/>
      <c r="DM399" s="280"/>
      <c r="DN399" s="280"/>
      <c r="DO399" s="280"/>
      <c r="DP399" s="280"/>
      <c r="DQ399" s="280"/>
      <c r="DR399" s="280"/>
      <c r="DS399" s="280"/>
      <c r="DT399" s="280"/>
      <c r="DU399" s="280"/>
      <c r="DV399" s="280"/>
      <c r="DW399" s="280"/>
      <c r="DX399" s="280"/>
      <c r="DY399" s="280"/>
      <c r="DZ399" s="280"/>
      <c r="EA399" s="280"/>
      <c r="EB399" s="280"/>
      <c r="EC399" s="280"/>
      <c r="ED399" s="280"/>
      <c r="EE399" s="280"/>
      <c r="EF399" s="280"/>
      <c r="EG399" s="280"/>
      <c r="EH399" s="280"/>
      <c r="EI399" s="280"/>
      <c r="EJ399" s="280"/>
      <c r="EK399" s="280"/>
      <c r="EL399" s="280"/>
      <c r="EM399" s="280"/>
      <c r="EN399" s="280"/>
      <c r="EO399" s="280"/>
      <c r="EP399" s="521"/>
      <c r="EQ399" s="521"/>
      <c r="ER399" s="521"/>
      <c r="ES399" s="521"/>
      <c r="ET399" s="521"/>
      <c r="EU399" s="521"/>
      <c r="EV399" s="521"/>
      <c r="EW399" s="521"/>
      <c r="EX399" s="521"/>
      <c r="EY399" s="521"/>
      <c r="EZ399" s="521"/>
      <c r="FA399" s="521"/>
      <c r="FB399" s="521"/>
      <c r="FC399" s="521"/>
      <c r="FD399" s="521"/>
      <c r="FE399" s="521"/>
      <c r="FF399" s="521"/>
      <c r="FG399" s="521"/>
      <c r="FH399" s="567"/>
      <c r="FI399" s="567"/>
      <c r="FJ399" s="567"/>
      <c r="FK399" s="567"/>
      <c r="FL399" s="567"/>
      <c r="FM399" s="567"/>
      <c r="FN399" s="567"/>
      <c r="FO399" s="567"/>
    </row>
    <row r="400" spans="1:171" s="568" customFormat="1" ht="13.9" customHeight="1">
      <c r="A400" s="566"/>
      <c r="B400" s="566"/>
      <c r="C400" s="566"/>
      <c r="D400" s="569"/>
      <c r="E400" s="570"/>
      <c r="F400" s="571"/>
      <c r="G400" s="571"/>
      <c r="H400" s="571"/>
      <c r="I400" s="571"/>
      <c r="J400" s="571"/>
      <c r="K400" s="572"/>
      <c r="L400" s="569"/>
      <c r="M400" s="569"/>
      <c r="N400" s="569"/>
      <c r="O400" s="569"/>
      <c r="P400" s="566"/>
      <c r="Q400" s="566"/>
      <c r="R400" s="566"/>
      <c r="S400" s="566"/>
      <c r="T400" s="566"/>
      <c r="U400" s="566"/>
      <c r="V400" s="566"/>
      <c r="W400" s="566"/>
      <c r="X400" s="553"/>
      <c r="Y400" s="553"/>
      <c r="Z400" s="553"/>
      <c r="AA400" s="554"/>
      <c r="AB400" s="550"/>
      <c r="AC400" s="550"/>
      <c r="AD400" s="550"/>
      <c r="AE400" s="307"/>
      <c r="AF400" s="307"/>
      <c r="AG400" s="307"/>
      <c r="AH400" s="307"/>
      <c r="AI400" s="307"/>
      <c r="AJ400" s="307"/>
      <c r="AK400" s="307"/>
      <c r="AL400" s="307"/>
      <c r="AM400" s="307"/>
      <c r="AN400" s="307"/>
      <c r="AO400" s="307"/>
      <c r="AP400" s="307"/>
      <c r="AQ400" s="307"/>
      <c r="AR400" s="307"/>
      <c r="AS400" s="307"/>
      <c r="AT400" s="307"/>
      <c r="AU400" s="307"/>
      <c r="AV400" s="307"/>
      <c r="AW400" s="307"/>
      <c r="AX400" s="307"/>
      <c r="AY400" s="307"/>
      <c r="AZ400" s="307"/>
      <c r="BA400" s="307"/>
      <c r="BB400" s="307"/>
      <c r="BC400" s="307"/>
      <c r="BD400" s="307"/>
      <c r="BE400" s="307"/>
      <c r="BF400" s="307"/>
      <c r="BG400" s="307"/>
      <c r="BH400" s="307"/>
      <c r="BI400" s="307"/>
      <c r="BJ400" s="307"/>
      <c r="BK400" s="307"/>
      <c r="BL400" s="307"/>
      <c r="BM400" s="307"/>
      <c r="BN400" s="307"/>
      <c r="BO400" s="307"/>
      <c r="BP400" s="307"/>
      <c r="BQ400" s="307"/>
      <c r="BR400" s="307"/>
      <c r="BS400" s="307"/>
      <c r="BT400" s="307"/>
      <c r="BU400" s="307"/>
      <c r="BV400" s="307"/>
      <c r="BW400" s="307"/>
      <c r="BX400" s="307"/>
      <c r="BY400" s="307"/>
      <c r="BZ400" s="307"/>
      <c r="CA400" s="307"/>
      <c r="CB400" s="307"/>
      <c r="CC400" s="307"/>
      <c r="CD400" s="307"/>
      <c r="CE400" s="307"/>
      <c r="CF400" s="307"/>
      <c r="CG400" s="307"/>
      <c r="CH400" s="307"/>
      <c r="CI400" s="307"/>
      <c r="CJ400" s="307"/>
      <c r="CK400" s="307"/>
      <c r="CL400" s="307"/>
      <c r="CM400" s="307"/>
      <c r="CN400" s="307"/>
      <c r="CO400" s="307"/>
      <c r="CP400" s="307"/>
      <c r="CQ400" s="307"/>
      <c r="CR400" s="307"/>
      <c r="CS400" s="307"/>
      <c r="CT400" s="307"/>
      <c r="CU400" s="307"/>
      <c r="CV400" s="307"/>
      <c r="CW400" s="307"/>
      <c r="CX400" s="307"/>
      <c r="CY400" s="307"/>
      <c r="CZ400" s="307"/>
      <c r="DA400" s="307"/>
      <c r="DB400" s="280"/>
      <c r="DC400" s="280"/>
      <c r="DD400" s="280"/>
      <c r="DE400" s="280"/>
      <c r="DF400" s="280"/>
      <c r="DG400" s="280"/>
      <c r="DH400" s="280"/>
      <c r="DI400" s="280"/>
      <c r="DJ400" s="280"/>
      <c r="DK400" s="280"/>
      <c r="DL400" s="280"/>
      <c r="DM400" s="280"/>
      <c r="DN400" s="280"/>
      <c r="DO400" s="280"/>
      <c r="DP400" s="280"/>
      <c r="DQ400" s="280"/>
      <c r="DR400" s="280"/>
      <c r="DS400" s="280"/>
      <c r="DT400" s="280"/>
      <c r="DU400" s="280"/>
      <c r="DV400" s="280"/>
      <c r="DW400" s="280"/>
      <c r="DX400" s="280"/>
      <c r="DY400" s="280"/>
      <c r="DZ400" s="280"/>
      <c r="EA400" s="280"/>
      <c r="EB400" s="280"/>
      <c r="EC400" s="280"/>
      <c r="ED400" s="280"/>
      <c r="EE400" s="280"/>
      <c r="EF400" s="280"/>
      <c r="EG400" s="280"/>
      <c r="EH400" s="280"/>
      <c r="EI400" s="280"/>
      <c r="EJ400" s="280"/>
      <c r="EK400" s="280"/>
      <c r="EL400" s="280"/>
      <c r="EM400" s="280"/>
      <c r="EN400" s="280"/>
      <c r="EO400" s="280"/>
      <c r="EP400" s="521"/>
      <c r="EQ400" s="521"/>
      <c r="ER400" s="521"/>
      <c r="ES400" s="521"/>
      <c r="ET400" s="521"/>
      <c r="EU400" s="521"/>
      <c r="EV400" s="521"/>
      <c r="EW400" s="521"/>
      <c r="EX400" s="521"/>
      <c r="EY400" s="521"/>
      <c r="EZ400" s="521"/>
      <c r="FA400" s="521"/>
      <c r="FB400" s="521"/>
      <c r="FC400" s="521"/>
      <c r="FD400" s="521"/>
      <c r="FE400" s="521"/>
      <c r="FF400" s="521"/>
      <c r="FG400" s="521"/>
      <c r="FH400" s="567"/>
      <c r="FI400" s="567"/>
      <c r="FJ400" s="567"/>
      <c r="FK400" s="567"/>
      <c r="FL400" s="567"/>
      <c r="FM400" s="567"/>
      <c r="FN400" s="567"/>
      <c r="FO400" s="567"/>
    </row>
    <row r="401" spans="1:171" s="568" customFormat="1" ht="13.9" customHeight="1">
      <c r="A401" s="566"/>
      <c r="B401" s="566"/>
      <c r="C401" s="566"/>
      <c r="D401" s="569"/>
      <c r="E401" s="570"/>
      <c r="F401" s="571"/>
      <c r="G401" s="571"/>
      <c r="H401" s="571"/>
      <c r="I401" s="571"/>
      <c r="J401" s="571"/>
      <c r="K401" s="572"/>
      <c r="L401" s="569"/>
      <c r="M401" s="569"/>
      <c r="N401" s="569"/>
      <c r="O401" s="569"/>
      <c r="P401" s="566"/>
      <c r="Q401" s="566"/>
      <c r="R401" s="566"/>
      <c r="S401" s="566"/>
      <c r="T401" s="566"/>
      <c r="U401" s="566"/>
      <c r="V401" s="566"/>
      <c r="W401" s="566"/>
      <c r="X401" s="553"/>
      <c r="Y401" s="553"/>
      <c r="Z401" s="553"/>
      <c r="AA401" s="554"/>
      <c r="AB401" s="550"/>
      <c r="AC401" s="550"/>
      <c r="AD401" s="550"/>
      <c r="AE401" s="307"/>
      <c r="AF401" s="307"/>
      <c r="AG401" s="307"/>
      <c r="AH401" s="307"/>
      <c r="AI401" s="307"/>
      <c r="AJ401" s="307"/>
      <c r="AK401" s="307"/>
      <c r="AL401" s="307"/>
      <c r="AM401" s="307"/>
      <c r="AN401" s="307"/>
      <c r="AO401" s="307"/>
      <c r="AP401" s="307"/>
      <c r="AQ401" s="307"/>
      <c r="AR401" s="307"/>
      <c r="AS401" s="307"/>
      <c r="AT401" s="307"/>
      <c r="AU401" s="307"/>
      <c r="AV401" s="307"/>
      <c r="AW401" s="307"/>
      <c r="AX401" s="307"/>
      <c r="AY401" s="307"/>
      <c r="AZ401" s="307"/>
      <c r="BA401" s="307"/>
      <c r="BB401" s="307"/>
      <c r="BC401" s="307"/>
      <c r="BD401" s="307"/>
      <c r="BE401" s="307"/>
      <c r="BF401" s="307"/>
      <c r="BG401" s="307"/>
      <c r="BH401" s="307"/>
      <c r="BI401" s="307"/>
      <c r="BJ401" s="307"/>
      <c r="BK401" s="307"/>
      <c r="BL401" s="307"/>
      <c r="BM401" s="307"/>
      <c r="BN401" s="307"/>
      <c r="BO401" s="307"/>
      <c r="BP401" s="307"/>
      <c r="BQ401" s="307"/>
      <c r="BR401" s="307"/>
      <c r="BS401" s="307"/>
      <c r="BT401" s="307"/>
      <c r="BU401" s="307"/>
      <c r="BV401" s="307"/>
      <c r="BW401" s="307"/>
      <c r="BX401" s="307"/>
      <c r="BY401" s="307"/>
      <c r="BZ401" s="307"/>
      <c r="CA401" s="307"/>
      <c r="CB401" s="307"/>
      <c r="CC401" s="307"/>
      <c r="CD401" s="307"/>
      <c r="CE401" s="307"/>
      <c r="CF401" s="307"/>
      <c r="CG401" s="307"/>
      <c r="CH401" s="307"/>
      <c r="CI401" s="307"/>
      <c r="CJ401" s="307"/>
      <c r="CK401" s="307"/>
      <c r="CL401" s="307"/>
      <c r="CM401" s="307"/>
      <c r="CN401" s="307"/>
      <c r="CO401" s="307"/>
      <c r="CP401" s="307"/>
      <c r="CQ401" s="307"/>
      <c r="CR401" s="307"/>
      <c r="CS401" s="307"/>
      <c r="CT401" s="307"/>
      <c r="CU401" s="307"/>
      <c r="CV401" s="307"/>
      <c r="CW401" s="307"/>
      <c r="CX401" s="307"/>
      <c r="CY401" s="307"/>
      <c r="CZ401" s="307"/>
      <c r="DA401" s="307"/>
      <c r="DB401" s="280"/>
      <c r="DC401" s="280"/>
      <c r="DD401" s="280"/>
      <c r="DE401" s="280"/>
      <c r="DF401" s="280"/>
      <c r="DG401" s="280"/>
      <c r="DH401" s="280"/>
      <c r="DI401" s="280"/>
      <c r="DJ401" s="280"/>
      <c r="DK401" s="280"/>
      <c r="DL401" s="280"/>
      <c r="DM401" s="280"/>
      <c r="DN401" s="280"/>
      <c r="DO401" s="280"/>
      <c r="DP401" s="280"/>
      <c r="DQ401" s="280"/>
      <c r="DR401" s="280"/>
      <c r="DS401" s="280"/>
      <c r="DT401" s="280"/>
      <c r="DU401" s="280"/>
      <c r="DV401" s="280"/>
      <c r="DW401" s="280"/>
      <c r="DX401" s="280"/>
      <c r="DY401" s="280"/>
      <c r="DZ401" s="280"/>
      <c r="EA401" s="280"/>
      <c r="EB401" s="280"/>
      <c r="EC401" s="280"/>
      <c r="ED401" s="280"/>
      <c r="EE401" s="280"/>
      <c r="EF401" s="280"/>
      <c r="EG401" s="280"/>
      <c r="EH401" s="280"/>
      <c r="EI401" s="280"/>
      <c r="EJ401" s="280"/>
      <c r="EK401" s="280"/>
      <c r="EL401" s="280"/>
      <c r="EM401" s="280"/>
      <c r="EN401" s="280"/>
      <c r="EO401" s="280"/>
      <c r="EP401" s="521"/>
      <c r="EQ401" s="521"/>
      <c r="ER401" s="521"/>
      <c r="ES401" s="521"/>
      <c r="ET401" s="521"/>
      <c r="EU401" s="521"/>
      <c r="EV401" s="521"/>
      <c r="EW401" s="521"/>
      <c r="EX401" s="521"/>
      <c r="EY401" s="521"/>
      <c r="EZ401" s="521"/>
      <c r="FA401" s="521"/>
      <c r="FB401" s="521"/>
      <c r="FC401" s="521"/>
      <c r="FD401" s="521"/>
      <c r="FE401" s="521"/>
      <c r="FF401" s="521"/>
      <c r="FG401" s="521"/>
      <c r="FH401" s="567"/>
      <c r="FI401" s="567"/>
      <c r="FJ401" s="567"/>
      <c r="FK401" s="567"/>
      <c r="FL401" s="567"/>
      <c r="FM401" s="567"/>
      <c r="FN401" s="567"/>
      <c r="FO401" s="567"/>
    </row>
    <row r="402" spans="1:171" s="568" customFormat="1" ht="13.9" customHeight="1">
      <c r="A402" s="566"/>
      <c r="B402" s="566"/>
      <c r="C402" s="566"/>
      <c r="D402" s="569"/>
      <c r="E402" s="570"/>
      <c r="F402" s="571"/>
      <c r="G402" s="571"/>
      <c r="H402" s="571"/>
      <c r="I402" s="571"/>
      <c r="J402" s="571"/>
      <c r="K402" s="572"/>
      <c r="L402" s="569"/>
      <c r="M402" s="569"/>
      <c r="N402" s="569"/>
      <c r="O402" s="569"/>
      <c r="P402" s="566"/>
      <c r="Q402" s="566"/>
      <c r="R402" s="566"/>
      <c r="S402" s="566"/>
      <c r="T402" s="566"/>
      <c r="U402" s="566"/>
      <c r="V402" s="566"/>
      <c r="W402" s="566"/>
      <c r="X402" s="553"/>
      <c r="Y402" s="553"/>
      <c r="Z402" s="553"/>
      <c r="AA402" s="554"/>
      <c r="AB402" s="550"/>
      <c r="AC402" s="550"/>
      <c r="AD402" s="550"/>
      <c r="AE402" s="307"/>
      <c r="AF402" s="307"/>
      <c r="AG402" s="307"/>
      <c r="AH402" s="307"/>
      <c r="AI402" s="307"/>
      <c r="AJ402" s="307"/>
      <c r="AK402" s="307"/>
      <c r="AL402" s="307"/>
      <c r="AM402" s="307"/>
      <c r="AN402" s="307"/>
      <c r="AO402" s="307"/>
      <c r="AP402" s="307"/>
      <c r="AQ402" s="307"/>
      <c r="AR402" s="307"/>
      <c r="AS402" s="307"/>
      <c r="AT402" s="307"/>
      <c r="AU402" s="307"/>
      <c r="AV402" s="307"/>
      <c r="AW402" s="307"/>
      <c r="AX402" s="307"/>
      <c r="AY402" s="307"/>
      <c r="AZ402" s="307"/>
      <c r="BA402" s="307"/>
      <c r="BB402" s="307"/>
      <c r="BC402" s="307"/>
      <c r="BD402" s="307"/>
      <c r="BE402" s="307"/>
      <c r="BF402" s="307"/>
      <c r="BG402" s="307"/>
      <c r="BH402" s="307"/>
      <c r="BI402" s="307"/>
      <c r="BJ402" s="307"/>
      <c r="BK402" s="307"/>
      <c r="BL402" s="307"/>
      <c r="BM402" s="307"/>
      <c r="BN402" s="307"/>
      <c r="BO402" s="307"/>
      <c r="BP402" s="307"/>
      <c r="BQ402" s="307"/>
      <c r="BR402" s="307"/>
      <c r="BS402" s="307"/>
      <c r="BT402" s="307"/>
      <c r="BU402" s="307"/>
      <c r="BV402" s="307"/>
      <c r="BW402" s="307"/>
      <c r="BX402" s="307"/>
      <c r="BY402" s="307"/>
      <c r="BZ402" s="307"/>
      <c r="CA402" s="307"/>
      <c r="CB402" s="307"/>
      <c r="CC402" s="307"/>
      <c r="CD402" s="307"/>
      <c r="CE402" s="307"/>
      <c r="CF402" s="307"/>
      <c r="CG402" s="307"/>
      <c r="CH402" s="307"/>
      <c r="CI402" s="307"/>
      <c r="CJ402" s="307"/>
      <c r="CK402" s="307"/>
      <c r="CL402" s="307"/>
      <c r="CM402" s="307"/>
      <c r="CN402" s="307"/>
      <c r="CO402" s="307"/>
      <c r="CP402" s="307"/>
      <c r="CQ402" s="307"/>
      <c r="CR402" s="307"/>
      <c r="CS402" s="307"/>
      <c r="CT402" s="307"/>
      <c r="CU402" s="307"/>
      <c r="CV402" s="307"/>
      <c r="CW402" s="307"/>
      <c r="CX402" s="307"/>
      <c r="CY402" s="307"/>
      <c r="CZ402" s="307"/>
      <c r="DA402" s="307"/>
      <c r="DB402" s="280"/>
      <c r="DC402" s="280"/>
      <c r="DD402" s="280"/>
      <c r="DE402" s="280"/>
      <c r="DF402" s="280"/>
      <c r="DG402" s="280"/>
      <c r="DH402" s="280"/>
      <c r="DI402" s="280"/>
      <c r="DJ402" s="280"/>
      <c r="DK402" s="280"/>
      <c r="DL402" s="280"/>
      <c r="DM402" s="280"/>
      <c r="DN402" s="280"/>
      <c r="DO402" s="280"/>
      <c r="DP402" s="280"/>
      <c r="DQ402" s="280"/>
      <c r="DR402" s="280"/>
      <c r="DS402" s="280"/>
      <c r="DT402" s="280"/>
      <c r="DU402" s="280"/>
      <c r="DV402" s="280"/>
      <c r="DW402" s="280"/>
      <c r="DX402" s="280"/>
      <c r="DY402" s="280"/>
      <c r="DZ402" s="280"/>
      <c r="EA402" s="280"/>
      <c r="EB402" s="280"/>
      <c r="EC402" s="280"/>
      <c r="ED402" s="280"/>
      <c r="EE402" s="280"/>
      <c r="EF402" s="280"/>
      <c r="EG402" s="280"/>
      <c r="EH402" s="280"/>
      <c r="EI402" s="280"/>
      <c r="EJ402" s="280"/>
      <c r="EK402" s="280"/>
      <c r="EL402" s="280"/>
      <c r="EM402" s="280"/>
      <c r="EN402" s="280"/>
      <c r="EO402" s="280"/>
      <c r="EP402" s="521"/>
      <c r="EQ402" s="521"/>
      <c r="ER402" s="521"/>
      <c r="ES402" s="521"/>
      <c r="ET402" s="521"/>
      <c r="EU402" s="521"/>
      <c r="EV402" s="521"/>
      <c r="EW402" s="521"/>
      <c r="EX402" s="521"/>
      <c r="EY402" s="521"/>
      <c r="EZ402" s="521"/>
      <c r="FA402" s="521"/>
      <c r="FB402" s="521"/>
      <c r="FC402" s="521"/>
      <c r="FD402" s="521"/>
      <c r="FE402" s="521"/>
      <c r="FF402" s="521"/>
      <c r="FG402" s="521"/>
      <c r="FH402" s="567"/>
      <c r="FI402" s="567"/>
      <c r="FJ402" s="567"/>
      <c r="FK402" s="567"/>
      <c r="FL402" s="567"/>
      <c r="FM402" s="567"/>
      <c r="FN402" s="567"/>
      <c r="FO402" s="567"/>
    </row>
    <row r="403" spans="1:171" s="568" customFormat="1" ht="13.9" customHeight="1">
      <c r="A403" s="566"/>
      <c r="B403" s="566"/>
      <c r="C403" s="566"/>
      <c r="D403" s="569"/>
      <c r="E403" s="570"/>
      <c r="F403" s="571"/>
      <c r="G403" s="571"/>
      <c r="H403" s="571"/>
      <c r="I403" s="571"/>
      <c r="J403" s="571"/>
      <c r="K403" s="572"/>
      <c r="L403" s="569"/>
      <c r="M403" s="569"/>
      <c r="N403" s="569"/>
      <c r="O403" s="569"/>
      <c r="P403" s="566"/>
      <c r="Q403" s="566"/>
      <c r="R403" s="566"/>
      <c r="S403" s="566"/>
      <c r="T403" s="566"/>
      <c r="U403" s="566"/>
      <c r="V403" s="566"/>
      <c r="W403" s="566"/>
      <c r="X403" s="553"/>
      <c r="Y403" s="553"/>
      <c r="Z403" s="553"/>
      <c r="AA403" s="554"/>
      <c r="AB403" s="550"/>
      <c r="AC403" s="550"/>
      <c r="AD403" s="550"/>
      <c r="AE403" s="307"/>
      <c r="AF403" s="307"/>
      <c r="AG403" s="307"/>
      <c r="AH403" s="307"/>
      <c r="AI403" s="307"/>
      <c r="AJ403" s="307"/>
      <c r="AK403" s="307"/>
      <c r="AL403" s="307"/>
      <c r="AM403" s="307"/>
      <c r="AN403" s="307"/>
      <c r="AO403" s="307"/>
      <c r="AP403" s="307"/>
      <c r="AQ403" s="307"/>
      <c r="AR403" s="307"/>
      <c r="AS403" s="307"/>
      <c r="AT403" s="307"/>
      <c r="AU403" s="307"/>
      <c r="AV403" s="307"/>
      <c r="AW403" s="307"/>
      <c r="AX403" s="307"/>
      <c r="AY403" s="307"/>
      <c r="AZ403" s="307"/>
      <c r="BA403" s="307"/>
      <c r="BB403" s="307"/>
      <c r="BC403" s="307"/>
      <c r="BD403" s="307"/>
      <c r="BE403" s="307"/>
      <c r="BF403" s="307"/>
      <c r="BG403" s="307"/>
      <c r="BH403" s="307"/>
      <c r="BI403" s="307"/>
      <c r="BJ403" s="307"/>
      <c r="BK403" s="307"/>
      <c r="BL403" s="307"/>
      <c r="BM403" s="307"/>
      <c r="BN403" s="307"/>
      <c r="BO403" s="307"/>
      <c r="BP403" s="307"/>
      <c r="BQ403" s="307"/>
      <c r="BR403" s="307"/>
      <c r="BS403" s="307"/>
      <c r="BT403" s="307"/>
      <c r="BU403" s="307"/>
      <c r="BV403" s="307"/>
      <c r="BW403" s="307"/>
      <c r="BX403" s="307"/>
      <c r="BY403" s="307"/>
      <c r="BZ403" s="307"/>
      <c r="CA403" s="307"/>
      <c r="CB403" s="307"/>
      <c r="CC403" s="307"/>
      <c r="CD403" s="307"/>
      <c r="CE403" s="307"/>
      <c r="CF403" s="307"/>
      <c r="CG403" s="307"/>
      <c r="CH403" s="307"/>
      <c r="CI403" s="307"/>
      <c r="CJ403" s="307"/>
      <c r="CK403" s="307"/>
      <c r="CL403" s="307"/>
      <c r="CM403" s="307"/>
      <c r="CN403" s="307"/>
      <c r="CO403" s="307"/>
      <c r="CP403" s="307"/>
      <c r="CQ403" s="307"/>
      <c r="CR403" s="307"/>
      <c r="CS403" s="307"/>
      <c r="CT403" s="307"/>
      <c r="CU403" s="307"/>
      <c r="CV403" s="307"/>
      <c r="CW403" s="307"/>
      <c r="CX403" s="307"/>
      <c r="CY403" s="307"/>
      <c r="CZ403" s="307"/>
      <c r="DA403" s="307"/>
      <c r="DB403" s="280"/>
      <c r="DC403" s="280"/>
      <c r="DD403" s="280"/>
      <c r="DE403" s="280"/>
      <c r="DF403" s="280"/>
      <c r="DG403" s="280"/>
      <c r="DH403" s="280"/>
      <c r="DI403" s="280"/>
      <c r="DJ403" s="280"/>
      <c r="DK403" s="280"/>
      <c r="DL403" s="280"/>
      <c r="DM403" s="280"/>
      <c r="DN403" s="280"/>
      <c r="DO403" s="280"/>
      <c r="DP403" s="280"/>
      <c r="DQ403" s="280"/>
      <c r="DR403" s="280"/>
      <c r="DS403" s="280"/>
      <c r="DT403" s="280"/>
      <c r="DU403" s="280"/>
      <c r="DV403" s="280"/>
      <c r="DW403" s="280"/>
      <c r="DX403" s="280"/>
      <c r="DY403" s="280"/>
      <c r="DZ403" s="280"/>
      <c r="EA403" s="280"/>
      <c r="EB403" s="280"/>
      <c r="EC403" s="280"/>
      <c r="ED403" s="280"/>
      <c r="EE403" s="280"/>
      <c r="EF403" s="280"/>
      <c r="EG403" s="280"/>
      <c r="EH403" s="280"/>
      <c r="EI403" s="280"/>
      <c r="EJ403" s="280"/>
      <c r="EK403" s="280"/>
      <c r="EL403" s="280"/>
      <c r="EM403" s="280"/>
      <c r="EN403" s="280"/>
      <c r="EO403" s="280"/>
      <c r="EP403" s="521"/>
      <c r="EQ403" s="521"/>
      <c r="ER403" s="521"/>
      <c r="ES403" s="521"/>
      <c r="ET403" s="521"/>
      <c r="EU403" s="521"/>
      <c r="EV403" s="521"/>
      <c r="EW403" s="521"/>
      <c r="EX403" s="521"/>
      <c r="EY403" s="521"/>
      <c r="EZ403" s="521"/>
      <c r="FA403" s="521"/>
      <c r="FB403" s="521"/>
      <c r="FC403" s="521"/>
      <c r="FD403" s="521"/>
      <c r="FE403" s="521"/>
      <c r="FF403" s="521"/>
      <c r="FG403" s="521"/>
      <c r="FH403" s="567"/>
      <c r="FI403" s="567"/>
      <c r="FJ403" s="567"/>
      <c r="FK403" s="567"/>
      <c r="FL403" s="567"/>
      <c r="FM403" s="567"/>
      <c r="FN403" s="567"/>
      <c r="FO403" s="567"/>
    </row>
    <row r="404" spans="1:171" s="568" customFormat="1" ht="13.9" customHeight="1">
      <c r="A404" s="566"/>
      <c r="B404" s="566"/>
      <c r="C404" s="566"/>
      <c r="D404" s="569"/>
      <c r="E404" s="570"/>
      <c r="F404" s="571"/>
      <c r="G404" s="571"/>
      <c r="H404" s="571"/>
      <c r="I404" s="571"/>
      <c r="J404" s="571"/>
      <c r="K404" s="572"/>
      <c r="L404" s="569"/>
      <c r="M404" s="569"/>
      <c r="N404" s="569"/>
      <c r="O404" s="569"/>
      <c r="P404" s="566"/>
      <c r="Q404" s="566"/>
      <c r="R404" s="566"/>
      <c r="S404" s="566"/>
      <c r="T404" s="566"/>
      <c r="U404" s="566"/>
      <c r="V404" s="566"/>
      <c r="W404" s="566"/>
      <c r="X404" s="553"/>
      <c r="Y404" s="553"/>
      <c r="Z404" s="553"/>
      <c r="AA404" s="554"/>
      <c r="AB404" s="550"/>
      <c r="AC404" s="550"/>
      <c r="AD404" s="550"/>
      <c r="AE404" s="307"/>
      <c r="AF404" s="307"/>
      <c r="AG404" s="307"/>
      <c r="AH404" s="307"/>
      <c r="AI404" s="307"/>
      <c r="AJ404" s="307"/>
      <c r="AK404" s="307"/>
      <c r="AL404" s="307"/>
      <c r="AM404" s="307"/>
      <c r="AN404" s="307"/>
      <c r="AO404" s="307"/>
      <c r="AP404" s="307"/>
      <c r="AQ404" s="307"/>
      <c r="AR404" s="307"/>
      <c r="AS404" s="307"/>
      <c r="AT404" s="307"/>
      <c r="AU404" s="307"/>
      <c r="AV404" s="307"/>
      <c r="AW404" s="307"/>
      <c r="AX404" s="307"/>
      <c r="AY404" s="307"/>
      <c r="AZ404" s="307"/>
      <c r="BA404" s="307"/>
      <c r="BB404" s="307"/>
      <c r="BC404" s="307"/>
      <c r="BD404" s="307"/>
      <c r="BE404" s="307"/>
      <c r="BF404" s="307"/>
      <c r="BG404" s="307"/>
      <c r="BH404" s="307"/>
      <c r="BI404" s="307"/>
      <c r="BJ404" s="307"/>
      <c r="BK404" s="307"/>
      <c r="BL404" s="307"/>
      <c r="BM404" s="307"/>
      <c r="BN404" s="307"/>
      <c r="BO404" s="307"/>
      <c r="BP404" s="307"/>
      <c r="BQ404" s="307"/>
      <c r="BR404" s="307"/>
      <c r="BS404" s="307"/>
      <c r="BT404" s="307"/>
      <c r="BU404" s="307"/>
      <c r="BV404" s="307"/>
      <c r="BW404" s="307"/>
      <c r="BX404" s="307"/>
      <c r="BY404" s="307"/>
      <c r="BZ404" s="307"/>
      <c r="CA404" s="307"/>
      <c r="CB404" s="307"/>
      <c r="CC404" s="307"/>
      <c r="CD404" s="307"/>
      <c r="CE404" s="307"/>
      <c r="CF404" s="307"/>
      <c r="CG404" s="307"/>
      <c r="CH404" s="307"/>
      <c r="CI404" s="307"/>
      <c r="CJ404" s="307"/>
      <c r="CK404" s="307"/>
      <c r="CL404" s="307"/>
      <c r="CM404" s="307"/>
      <c r="CN404" s="307"/>
      <c r="CO404" s="307"/>
      <c r="CP404" s="307"/>
      <c r="CQ404" s="307"/>
      <c r="CR404" s="307"/>
      <c r="CS404" s="307"/>
      <c r="CT404" s="307"/>
      <c r="CU404" s="307"/>
      <c r="CV404" s="307"/>
      <c r="CW404" s="307"/>
      <c r="CX404" s="307"/>
      <c r="CY404" s="307"/>
      <c r="CZ404" s="307"/>
      <c r="DA404" s="307"/>
      <c r="DB404" s="280"/>
      <c r="DC404" s="280"/>
      <c r="DD404" s="280"/>
      <c r="DE404" s="280"/>
      <c r="DF404" s="280"/>
      <c r="DG404" s="280"/>
      <c r="DH404" s="280"/>
      <c r="DI404" s="280"/>
      <c r="DJ404" s="280"/>
      <c r="DK404" s="280"/>
      <c r="DL404" s="280"/>
      <c r="DM404" s="280"/>
      <c r="DN404" s="280"/>
      <c r="DO404" s="280"/>
      <c r="DP404" s="280"/>
      <c r="DQ404" s="280"/>
      <c r="DR404" s="280"/>
      <c r="DS404" s="280"/>
      <c r="DT404" s="280"/>
      <c r="DU404" s="280"/>
      <c r="DV404" s="280"/>
      <c r="DW404" s="280"/>
      <c r="DX404" s="280"/>
      <c r="DY404" s="280"/>
      <c r="DZ404" s="280"/>
      <c r="EA404" s="280"/>
      <c r="EB404" s="280"/>
      <c r="EC404" s="280"/>
      <c r="ED404" s="280"/>
      <c r="EE404" s="280"/>
      <c r="EF404" s="280"/>
      <c r="EG404" s="280"/>
      <c r="EH404" s="280"/>
      <c r="EI404" s="280"/>
      <c r="EJ404" s="280"/>
      <c r="EK404" s="280"/>
      <c r="EL404" s="280"/>
      <c r="EM404" s="280"/>
      <c r="EN404" s="280"/>
      <c r="EO404" s="280"/>
      <c r="EP404" s="521"/>
      <c r="EQ404" s="521"/>
      <c r="ER404" s="521"/>
      <c r="ES404" s="521"/>
      <c r="ET404" s="521"/>
      <c r="EU404" s="521"/>
      <c r="EV404" s="521"/>
      <c r="EW404" s="521"/>
      <c r="EX404" s="521"/>
      <c r="EY404" s="521"/>
      <c r="EZ404" s="521"/>
      <c r="FA404" s="521"/>
      <c r="FB404" s="521"/>
      <c r="FC404" s="521"/>
      <c r="FD404" s="521"/>
      <c r="FE404" s="521"/>
      <c r="FF404" s="521"/>
      <c r="FG404" s="521"/>
      <c r="FH404" s="567"/>
      <c r="FI404" s="567"/>
      <c r="FJ404" s="567"/>
      <c r="FK404" s="567"/>
      <c r="FL404" s="567"/>
      <c r="FM404" s="567"/>
      <c r="FN404" s="567"/>
      <c r="FO404" s="567"/>
    </row>
    <row r="405" spans="1:171" s="568" customFormat="1" ht="13.9" customHeight="1">
      <c r="A405" s="566"/>
      <c r="B405" s="566"/>
      <c r="C405" s="566"/>
      <c r="D405" s="569"/>
      <c r="E405" s="570"/>
      <c r="F405" s="571"/>
      <c r="G405" s="571"/>
      <c r="H405" s="571"/>
      <c r="I405" s="571"/>
      <c r="J405" s="571"/>
      <c r="K405" s="572"/>
      <c r="L405" s="569"/>
      <c r="M405" s="569"/>
      <c r="N405" s="569"/>
      <c r="O405" s="569"/>
      <c r="P405" s="566"/>
      <c r="Q405" s="566"/>
      <c r="R405" s="566"/>
      <c r="S405" s="566"/>
      <c r="T405" s="566"/>
      <c r="U405" s="566"/>
      <c r="V405" s="566"/>
      <c r="W405" s="566"/>
      <c r="X405" s="553"/>
      <c r="Y405" s="553"/>
      <c r="Z405" s="553"/>
      <c r="AA405" s="554"/>
      <c r="AB405" s="550"/>
      <c r="AC405" s="550"/>
      <c r="AD405" s="550"/>
      <c r="AE405" s="307"/>
      <c r="AF405" s="307"/>
      <c r="AG405" s="307"/>
      <c r="AH405" s="307"/>
      <c r="AI405" s="307"/>
      <c r="AJ405" s="307"/>
      <c r="AK405" s="307"/>
      <c r="AL405" s="307"/>
      <c r="AM405" s="307"/>
      <c r="AN405" s="307"/>
      <c r="AO405" s="307"/>
      <c r="AP405" s="307"/>
      <c r="AQ405" s="307"/>
      <c r="AR405" s="307"/>
      <c r="AS405" s="307"/>
      <c r="AT405" s="307"/>
      <c r="AU405" s="307"/>
      <c r="AV405" s="307"/>
      <c r="AW405" s="307"/>
      <c r="AX405" s="307"/>
      <c r="AY405" s="307"/>
      <c r="AZ405" s="307"/>
      <c r="BA405" s="307"/>
      <c r="BB405" s="307"/>
      <c r="BC405" s="307"/>
      <c r="BD405" s="307"/>
      <c r="BE405" s="307"/>
      <c r="BF405" s="307"/>
      <c r="BG405" s="307"/>
      <c r="BH405" s="307"/>
      <c r="BI405" s="307"/>
      <c r="BJ405" s="307"/>
      <c r="BK405" s="307"/>
      <c r="BL405" s="307"/>
      <c r="BM405" s="307"/>
      <c r="BN405" s="307"/>
      <c r="BO405" s="307"/>
      <c r="BP405" s="307"/>
      <c r="BQ405" s="307"/>
      <c r="BR405" s="307"/>
      <c r="BS405" s="307"/>
      <c r="BT405" s="307"/>
      <c r="BU405" s="307"/>
      <c r="BV405" s="307"/>
      <c r="BW405" s="307"/>
      <c r="BX405" s="307"/>
      <c r="BY405" s="307"/>
      <c r="BZ405" s="307"/>
      <c r="CA405" s="307"/>
      <c r="CB405" s="307"/>
      <c r="CC405" s="307"/>
      <c r="CD405" s="307"/>
      <c r="CE405" s="307"/>
      <c r="CF405" s="307"/>
      <c r="CG405" s="307"/>
      <c r="CH405" s="307"/>
      <c r="CI405" s="307"/>
      <c r="CJ405" s="307"/>
      <c r="CK405" s="307"/>
      <c r="CL405" s="307"/>
      <c r="CM405" s="307"/>
      <c r="CN405" s="307"/>
      <c r="CO405" s="307"/>
      <c r="CP405" s="307"/>
      <c r="CQ405" s="307"/>
      <c r="CR405" s="307"/>
      <c r="CS405" s="307"/>
      <c r="CT405" s="307"/>
      <c r="CU405" s="307"/>
      <c r="CV405" s="307"/>
      <c r="CW405" s="307"/>
      <c r="CX405" s="307"/>
      <c r="CY405" s="307"/>
      <c r="CZ405" s="307"/>
      <c r="DA405" s="307"/>
      <c r="DB405" s="280"/>
      <c r="DC405" s="280"/>
      <c r="DD405" s="280"/>
      <c r="DE405" s="280"/>
      <c r="DF405" s="280"/>
      <c r="DG405" s="280"/>
      <c r="DH405" s="280"/>
      <c r="DI405" s="280"/>
      <c r="DJ405" s="280"/>
      <c r="DK405" s="280"/>
      <c r="DL405" s="280"/>
      <c r="DM405" s="280"/>
      <c r="DN405" s="280"/>
      <c r="DO405" s="280"/>
      <c r="DP405" s="280"/>
      <c r="DQ405" s="280"/>
      <c r="DR405" s="280"/>
      <c r="DS405" s="280"/>
      <c r="DT405" s="280"/>
      <c r="DU405" s="280"/>
      <c r="DV405" s="280"/>
      <c r="DW405" s="280"/>
      <c r="DX405" s="280"/>
      <c r="DY405" s="280"/>
      <c r="DZ405" s="280"/>
      <c r="EA405" s="280"/>
      <c r="EB405" s="280"/>
      <c r="EC405" s="280"/>
      <c r="ED405" s="280"/>
      <c r="EE405" s="280"/>
      <c r="EF405" s="280"/>
      <c r="EG405" s="280"/>
      <c r="EH405" s="280"/>
      <c r="EI405" s="280"/>
      <c r="EJ405" s="280"/>
      <c r="EK405" s="280"/>
      <c r="EL405" s="280"/>
      <c r="EM405" s="280"/>
      <c r="EN405" s="280"/>
      <c r="EO405" s="280"/>
      <c r="EP405" s="521"/>
      <c r="EQ405" s="521"/>
      <c r="ER405" s="521"/>
      <c r="ES405" s="521"/>
      <c r="ET405" s="521"/>
      <c r="EU405" s="521"/>
      <c r="EV405" s="521"/>
      <c r="EW405" s="521"/>
      <c r="EX405" s="521"/>
      <c r="EY405" s="521"/>
      <c r="EZ405" s="521"/>
      <c r="FA405" s="521"/>
      <c r="FB405" s="521"/>
      <c r="FC405" s="521"/>
      <c r="FD405" s="521"/>
      <c r="FE405" s="521"/>
      <c r="FF405" s="521"/>
      <c r="FG405" s="521"/>
      <c r="FH405" s="567"/>
      <c r="FI405" s="567"/>
      <c r="FJ405" s="567"/>
      <c r="FK405" s="567"/>
      <c r="FL405" s="567"/>
      <c r="FM405" s="567"/>
      <c r="FN405" s="567"/>
      <c r="FO405" s="567"/>
    </row>
    <row r="406" spans="1:171" s="568" customFormat="1" ht="13.9" customHeight="1">
      <c r="A406" s="566"/>
      <c r="B406" s="566"/>
      <c r="C406" s="566"/>
      <c r="D406" s="569"/>
      <c r="E406" s="570"/>
      <c r="F406" s="571"/>
      <c r="G406" s="571"/>
      <c r="H406" s="571"/>
      <c r="I406" s="571"/>
      <c r="J406" s="571"/>
      <c r="K406" s="572"/>
      <c r="L406" s="569"/>
      <c r="M406" s="569"/>
      <c r="N406" s="569"/>
      <c r="O406" s="569"/>
      <c r="P406" s="566"/>
      <c r="Q406" s="566"/>
      <c r="R406" s="566"/>
      <c r="S406" s="566"/>
      <c r="T406" s="566"/>
      <c r="U406" s="566"/>
      <c r="V406" s="566"/>
      <c r="W406" s="566"/>
      <c r="X406" s="553"/>
      <c r="Y406" s="553"/>
      <c r="Z406" s="553"/>
      <c r="AA406" s="554"/>
      <c r="AB406" s="550"/>
      <c r="AC406" s="550"/>
      <c r="AD406" s="550"/>
      <c r="AE406" s="307"/>
      <c r="AF406" s="307"/>
      <c r="AG406" s="307"/>
      <c r="AH406" s="307"/>
      <c r="AI406" s="307"/>
      <c r="AJ406" s="307"/>
      <c r="AK406" s="307"/>
      <c r="AL406" s="307"/>
      <c r="AM406" s="307"/>
      <c r="AN406" s="307"/>
      <c r="AO406" s="307"/>
      <c r="AP406" s="307"/>
      <c r="AQ406" s="307"/>
      <c r="AR406" s="307"/>
      <c r="AS406" s="307"/>
      <c r="AT406" s="307"/>
      <c r="AU406" s="307"/>
      <c r="AV406" s="307"/>
      <c r="AW406" s="307"/>
      <c r="AX406" s="307"/>
      <c r="AY406" s="307"/>
      <c r="AZ406" s="307"/>
      <c r="BA406" s="307"/>
      <c r="BB406" s="307"/>
      <c r="BC406" s="307"/>
      <c r="BD406" s="307"/>
      <c r="BE406" s="307"/>
      <c r="BF406" s="307"/>
      <c r="BG406" s="307"/>
      <c r="BH406" s="307"/>
      <c r="BI406" s="307"/>
      <c r="BJ406" s="307"/>
      <c r="BK406" s="307"/>
      <c r="BL406" s="307"/>
      <c r="BM406" s="307"/>
      <c r="BN406" s="307"/>
      <c r="BO406" s="307"/>
      <c r="BP406" s="307"/>
      <c r="BQ406" s="307"/>
      <c r="BR406" s="307"/>
      <c r="BS406" s="307"/>
      <c r="BT406" s="307"/>
      <c r="BU406" s="307"/>
      <c r="BV406" s="307"/>
      <c r="BW406" s="307"/>
      <c r="BX406" s="307"/>
      <c r="BY406" s="307"/>
      <c r="BZ406" s="307"/>
      <c r="CA406" s="307"/>
      <c r="CB406" s="307"/>
      <c r="CC406" s="307"/>
      <c r="CD406" s="307"/>
      <c r="CE406" s="307"/>
      <c r="CF406" s="307"/>
      <c r="CG406" s="307"/>
      <c r="CH406" s="307"/>
      <c r="CI406" s="307"/>
      <c r="CJ406" s="307"/>
      <c r="CK406" s="307"/>
      <c r="CL406" s="307"/>
      <c r="CM406" s="307"/>
      <c r="CN406" s="307"/>
      <c r="CO406" s="307"/>
      <c r="CP406" s="307"/>
      <c r="CQ406" s="307"/>
      <c r="CR406" s="307"/>
      <c r="CS406" s="307"/>
      <c r="CT406" s="307"/>
      <c r="CU406" s="307"/>
      <c r="CV406" s="307"/>
      <c r="CW406" s="307"/>
      <c r="CX406" s="307"/>
      <c r="CY406" s="307"/>
      <c r="CZ406" s="307"/>
      <c r="DA406" s="307"/>
      <c r="DB406" s="280"/>
      <c r="DC406" s="280"/>
      <c r="DD406" s="280"/>
      <c r="DE406" s="280"/>
      <c r="DF406" s="280"/>
      <c r="DG406" s="280"/>
      <c r="DH406" s="280"/>
      <c r="DI406" s="280"/>
      <c r="DJ406" s="280"/>
      <c r="DK406" s="280"/>
      <c r="DL406" s="280"/>
      <c r="DM406" s="280"/>
      <c r="DN406" s="280"/>
      <c r="DO406" s="280"/>
      <c r="DP406" s="280"/>
      <c r="DQ406" s="280"/>
      <c r="DR406" s="280"/>
      <c r="DS406" s="280"/>
      <c r="DT406" s="280"/>
      <c r="DU406" s="280"/>
      <c r="DV406" s="280"/>
      <c r="DW406" s="280"/>
      <c r="DX406" s="280"/>
      <c r="DY406" s="280"/>
      <c r="DZ406" s="280"/>
      <c r="EA406" s="280"/>
      <c r="EB406" s="280"/>
      <c r="EC406" s="280"/>
      <c r="ED406" s="280"/>
      <c r="EE406" s="280"/>
      <c r="EF406" s="280"/>
      <c r="EG406" s="280"/>
      <c r="EH406" s="280"/>
      <c r="EI406" s="280"/>
      <c r="EJ406" s="280"/>
      <c r="EK406" s="280"/>
      <c r="EL406" s="280"/>
      <c r="EM406" s="280"/>
      <c r="EN406" s="280"/>
      <c r="EO406" s="280"/>
      <c r="EP406" s="521"/>
      <c r="EQ406" s="521"/>
      <c r="ER406" s="521"/>
      <c r="ES406" s="521"/>
      <c r="ET406" s="521"/>
      <c r="EU406" s="521"/>
      <c r="EV406" s="521"/>
      <c r="EW406" s="521"/>
      <c r="EX406" s="521"/>
      <c r="EY406" s="521"/>
      <c r="EZ406" s="521"/>
      <c r="FA406" s="521"/>
      <c r="FB406" s="521"/>
      <c r="FC406" s="521"/>
      <c r="FD406" s="521"/>
      <c r="FE406" s="521"/>
      <c r="FF406" s="521"/>
      <c r="FG406" s="521"/>
      <c r="FH406" s="567"/>
      <c r="FI406" s="567"/>
      <c r="FJ406" s="567"/>
      <c r="FK406" s="567"/>
      <c r="FL406" s="567"/>
      <c r="FM406" s="567"/>
      <c r="FN406" s="567"/>
      <c r="FO406" s="567"/>
    </row>
    <row r="407" spans="1:171" s="568" customFormat="1" ht="13.9" customHeight="1">
      <c r="A407" s="566"/>
      <c r="B407" s="566"/>
      <c r="C407" s="566"/>
      <c r="D407" s="569"/>
      <c r="E407" s="570"/>
      <c r="F407" s="571"/>
      <c r="G407" s="571"/>
      <c r="H407" s="571"/>
      <c r="I407" s="571"/>
      <c r="J407" s="571"/>
      <c r="K407" s="572"/>
      <c r="L407" s="569"/>
      <c r="M407" s="569"/>
      <c r="N407" s="569"/>
      <c r="O407" s="569"/>
      <c r="P407" s="566"/>
      <c r="Q407" s="566"/>
      <c r="R407" s="566"/>
      <c r="S407" s="566"/>
      <c r="T407" s="566"/>
      <c r="U407" s="566"/>
      <c r="V407" s="566"/>
      <c r="W407" s="566"/>
      <c r="X407" s="553"/>
      <c r="Y407" s="553"/>
      <c r="Z407" s="553"/>
      <c r="AA407" s="554"/>
      <c r="AB407" s="550"/>
      <c r="AC407" s="550"/>
      <c r="AD407" s="550"/>
      <c r="AE407" s="307"/>
      <c r="AF407" s="307"/>
      <c r="AG407" s="307"/>
      <c r="AH407" s="307"/>
      <c r="AI407" s="307"/>
      <c r="AJ407" s="307"/>
      <c r="AK407" s="307"/>
      <c r="AL407" s="307"/>
      <c r="AM407" s="307"/>
      <c r="AN407" s="307"/>
      <c r="AO407" s="307"/>
      <c r="AP407" s="307"/>
      <c r="AQ407" s="307"/>
      <c r="AR407" s="307"/>
      <c r="AS407" s="307"/>
      <c r="AT407" s="307"/>
      <c r="AU407" s="307"/>
      <c r="AV407" s="307"/>
      <c r="AW407" s="307"/>
      <c r="AX407" s="307"/>
      <c r="AY407" s="307"/>
      <c r="AZ407" s="307"/>
      <c r="BA407" s="307"/>
      <c r="BB407" s="307"/>
      <c r="BC407" s="307"/>
      <c r="BD407" s="307"/>
      <c r="BE407" s="307"/>
      <c r="BF407" s="307"/>
      <c r="BG407" s="307"/>
      <c r="BH407" s="307"/>
      <c r="BI407" s="307"/>
      <c r="BJ407" s="307"/>
      <c r="BK407" s="307"/>
      <c r="BL407" s="307"/>
      <c r="BM407" s="307"/>
      <c r="BN407" s="307"/>
      <c r="BO407" s="307"/>
      <c r="BP407" s="307"/>
      <c r="BQ407" s="307"/>
      <c r="BR407" s="307"/>
      <c r="BS407" s="307"/>
      <c r="BT407" s="307"/>
      <c r="BU407" s="307"/>
      <c r="BV407" s="307"/>
      <c r="BW407" s="307"/>
      <c r="BX407" s="307"/>
      <c r="BY407" s="307"/>
      <c r="BZ407" s="307"/>
      <c r="CA407" s="307"/>
      <c r="CB407" s="307"/>
      <c r="CC407" s="307"/>
      <c r="CD407" s="307"/>
      <c r="CE407" s="307"/>
      <c r="CF407" s="307"/>
      <c r="CG407" s="307"/>
      <c r="CH407" s="307"/>
      <c r="CI407" s="307"/>
      <c r="CJ407" s="307"/>
      <c r="CK407" s="307"/>
      <c r="CL407" s="307"/>
      <c r="CM407" s="307"/>
      <c r="CN407" s="307"/>
      <c r="CO407" s="307"/>
      <c r="CP407" s="307"/>
      <c r="CQ407" s="307"/>
      <c r="CR407" s="307"/>
      <c r="CS407" s="307"/>
      <c r="CT407" s="307"/>
      <c r="CU407" s="307"/>
      <c r="CV407" s="307"/>
      <c r="CW407" s="307"/>
      <c r="CX407" s="307"/>
      <c r="CY407" s="307"/>
      <c r="CZ407" s="307"/>
      <c r="DA407" s="307"/>
      <c r="DB407" s="280"/>
      <c r="DC407" s="280"/>
      <c r="DD407" s="280"/>
      <c r="DE407" s="280"/>
      <c r="DF407" s="280"/>
      <c r="DG407" s="280"/>
      <c r="DH407" s="280"/>
      <c r="DI407" s="280"/>
      <c r="DJ407" s="280"/>
      <c r="DK407" s="280"/>
      <c r="DL407" s="280"/>
      <c r="DM407" s="280"/>
      <c r="DN407" s="280"/>
      <c r="DO407" s="280"/>
      <c r="DP407" s="280"/>
      <c r="DQ407" s="280"/>
      <c r="DR407" s="280"/>
      <c r="DS407" s="280"/>
      <c r="DT407" s="280"/>
      <c r="DU407" s="280"/>
      <c r="DV407" s="280"/>
      <c r="DW407" s="280"/>
      <c r="DX407" s="280"/>
      <c r="DY407" s="280"/>
      <c r="DZ407" s="280"/>
      <c r="EA407" s="280"/>
      <c r="EB407" s="280"/>
      <c r="EC407" s="280"/>
      <c r="ED407" s="280"/>
      <c r="EE407" s="280"/>
      <c r="EF407" s="280"/>
      <c r="EG407" s="280"/>
      <c r="EH407" s="280"/>
      <c r="EI407" s="280"/>
      <c r="EJ407" s="280"/>
      <c r="EK407" s="280"/>
      <c r="EL407" s="280"/>
      <c r="EM407" s="280"/>
      <c r="EN407" s="280"/>
      <c r="EO407" s="280"/>
      <c r="EP407" s="521"/>
      <c r="EQ407" s="521"/>
      <c r="ER407" s="521"/>
      <c r="ES407" s="521"/>
      <c r="ET407" s="521"/>
      <c r="EU407" s="521"/>
      <c r="EV407" s="521"/>
      <c r="EW407" s="521"/>
      <c r="EX407" s="521"/>
      <c r="EY407" s="521"/>
      <c r="EZ407" s="521"/>
      <c r="FA407" s="521"/>
      <c r="FB407" s="521"/>
      <c r="FC407" s="521"/>
      <c r="FD407" s="521"/>
      <c r="FE407" s="521"/>
      <c r="FF407" s="521"/>
      <c r="FG407" s="521"/>
      <c r="FH407" s="567"/>
      <c r="FI407" s="567"/>
      <c r="FJ407" s="567"/>
      <c r="FK407" s="567"/>
      <c r="FL407" s="567"/>
      <c r="FM407" s="567"/>
      <c r="FN407" s="567"/>
      <c r="FO407" s="567"/>
    </row>
    <row r="408" spans="1:171" s="568" customFormat="1" ht="13.9" customHeight="1">
      <c r="A408" s="566"/>
      <c r="B408" s="566"/>
      <c r="C408" s="566"/>
      <c r="D408" s="569"/>
      <c r="E408" s="570"/>
      <c r="F408" s="571"/>
      <c r="G408" s="571"/>
      <c r="H408" s="571"/>
      <c r="I408" s="571"/>
      <c r="J408" s="571"/>
      <c r="K408" s="572"/>
      <c r="L408" s="569"/>
      <c r="M408" s="569"/>
      <c r="N408" s="569"/>
      <c r="O408" s="569"/>
      <c r="P408" s="566"/>
      <c r="Q408" s="566"/>
      <c r="R408" s="566"/>
      <c r="S408" s="566"/>
      <c r="T408" s="566"/>
      <c r="U408" s="566"/>
      <c r="V408" s="566"/>
      <c r="W408" s="566"/>
      <c r="X408" s="553"/>
      <c r="Y408" s="553"/>
      <c r="Z408" s="553"/>
      <c r="AA408" s="554"/>
      <c r="AB408" s="550"/>
      <c r="AC408" s="550"/>
      <c r="AD408" s="550"/>
      <c r="AE408" s="307"/>
      <c r="AF408" s="307"/>
      <c r="AG408" s="307"/>
      <c r="AH408" s="307"/>
      <c r="AI408" s="307"/>
      <c r="AJ408" s="307"/>
      <c r="AK408" s="307"/>
      <c r="AL408" s="307"/>
      <c r="AM408" s="307"/>
      <c r="AN408" s="307"/>
      <c r="AO408" s="307"/>
      <c r="AP408" s="307"/>
      <c r="AQ408" s="307"/>
      <c r="AR408" s="307"/>
      <c r="AS408" s="307"/>
      <c r="AT408" s="307"/>
      <c r="AU408" s="307"/>
      <c r="AV408" s="307"/>
      <c r="AW408" s="307"/>
      <c r="AX408" s="307"/>
      <c r="AY408" s="307"/>
      <c r="AZ408" s="307"/>
      <c r="BA408" s="307"/>
      <c r="BB408" s="307"/>
      <c r="BC408" s="307"/>
      <c r="BD408" s="307"/>
      <c r="BE408" s="307"/>
      <c r="BF408" s="307"/>
      <c r="BG408" s="307"/>
      <c r="BH408" s="307"/>
      <c r="BI408" s="307"/>
      <c r="BJ408" s="307"/>
      <c r="BK408" s="307"/>
      <c r="BL408" s="307"/>
      <c r="BM408" s="307"/>
      <c r="BN408" s="307"/>
      <c r="BO408" s="307"/>
      <c r="BP408" s="307"/>
      <c r="BQ408" s="307"/>
      <c r="BR408" s="307"/>
      <c r="BS408" s="307"/>
      <c r="BT408" s="307"/>
      <c r="BU408" s="307"/>
      <c r="BV408" s="307"/>
      <c r="BW408" s="307"/>
      <c r="BX408" s="307"/>
      <c r="BY408" s="307"/>
      <c r="BZ408" s="307"/>
      <c r="CA408" s="307"/>
      <c r="CB408" s="307"/>
      <c r="CC408" s="307"/>
      <c r="CD408" s="307"/>
      <c r="CE408" s="307"/>
      <c r="CF408" s="307"/>
      <c r="CG408" s="307"/>
      <c r="CH408" s="307"/>
      <c r="CI408" s="307"/>
      <c r="CJ408" s="307"/>
      <c r="CK408" s="307"/>
      <c r="CL408" s="307"/>
      <c r="CM408" s="307"/>
      <c r="CN408" s="307"/>
      <c r="CO408" s="307"/>
      <c r="CP408" s="307"/>
      <c r="CQ408" s="307"/>
      <c r="CR408" s="307"/>
      <c r="CS408" s="307"/>
      <c r="CT408" s="307"/>
      <c r="CU408" s="307"/>
      <c r="CV408" s="307"/>
      <c r="CW408" s="307"/>
      <c r="CX408" s="307"/>
      <c r="CY408" s="307"/>
      <c r="CZ408" s="307"/>
      <c r="DA408" s="307"/>
      <c r="DB408" s="280"/>
      <c r="DC408" s="280"/>
      <c r="DD408" s="280"/>
      <c r="DE408" s="280"/>
      <c r="DF408" s="280"/>
      <c r="DG408" s="280"/>
      <c r="DH408" s="280"/>
      <c r="DI408" s="280"/>
      <c r="DJ408" s="280"/>
      <c r="DK408" s="280"/>
      <c r="DL408" s="280"/>
      <c r="DM408" s="280"/>
      <c r="DN408" s="280"/>
      <c r="DO408" s="280"/>
      <c r="DP408" s="280"/>
      <c r="DQ408" s="280"/>
      <c r="DR408" s="280"/>
      <c r="DS408" s="280"/>
      <c r="DT408" s="280"/>
      <c r="DU408" s="280"/>
      <c r="DV408" s="280"/>
      <c r="DW408" s="280"/>
      <c r="DX408" s="280"/>
      <c r="DY408" s="280"/>
      <c r="DZ408" s="280"/>
      <c r="EA408" s="280"/>
      <c r="EB408" s="280"/>
      <c r="EC408" s="280"/>
      <c r="ED408" s="280"/>
      <c r="EE408" s="280"/>
      <c r="EF408" s="280"/>
      <c r="EG408" s="280"/>
      <c r="EH408" s="280"/>
      <c r="EI408" s="280"/>
      <c r="EJ408" s="280"/>
      <c r="EK408" s="280"/>
      <c r="EL408" s="280"/>
      <c r="EM408" s="280"/>
      <c r="EN408" s="280"/>
      <c r="EO408" s="280"/>
      <c r="EP408" s="521"/>
      <c r="EQ408" s="521"/>
      <c r="ER408" s="521"/>
      <c r="ES408" s="521"/>
      <c r="ET408" s="521"/>
      <c r="EU408" s="521"/>
      <c r="EV408" s="521"/>
      <c r="EW408" s="521"/>
      <c r="EX408" s="521"/>
      <c r="EY408" s="521"/>
      <c r="EZ408" s="521"/>
      <c r="FA408" s="521"/>
      <c r="FB408" s="521"/>
      <c r="FC408" s="521"/>
      <c r="FD408" s="521"/>
      <c r="FE408" s="521"/>
      <c r="FF408" s="521"/>
      <c r="FG408" s="521"/>
      <c r="FH408" s="567"/>
      <c r="FI408" s="567"/>
      <c r="FJ408" s="567"/>
      <c r="FK408" s="567"/>
      <c r="FL408" s="567"/>
      <c r="FM408" s="567"/>
      <c r="FN408" s="567"/>
      <c r="FO408" s="567"/>
    </row>
    <row r="409" spans="1:171" s="568" customFormat="1" ht="13.9" customHeight="1">
      <c r="A409" s="566"/>
      <c r="B409" s="566"/>
      <c r="C409" s="566"/>
      <c r="D409" s="569"/>
      <c r="E409" s="570"/>
      <c r="F409" s="571"/>
      <c r="G409" s="571"/>
      <c r="H409" s="571"/>
      <c r="I409" s="571"/>
      <c r="J409" s="571"/>
      <c r="K409" s="572"/>
      <c r="L409" s="569"/>
      <c r="M409" s="569"/>
      <c r="N409" s="569"/>
      <c r="O409" s="569"/>
      <c r="P409" s="566"/>
      <c r="Q409" s="566"/>
      <c r="R409" s="566"/>
      <c r="S409" s="566"/>
      <c r="T409" s="566"/>
      <c r="U409" s="566"/>
      <c r="V409" s="566"/>
      <c r="W409" s="566"/>
      <c r="X409" s="553"/>
      <c r="Y409" s="553"/>
      <c r="Z409" s="553"/>
      <c r="AA409" s="554"/>
      <c r="AB409" s="550"/>
      <c r="AC409" s="550"/>
      <c r="AD409" s="550"/>
      <c r="AE409" s="307"/>
      <c r="AF409" s="307"/>
      <c r="AG409" s="307"/>
      <c r="AH409" s="307"/>
      <c r="AI409" s="307"/>
      <c r="AJ409" s="307"/>
      <c r="AK409" s="307"/>
      <c r="AL409" s="307"/>
      <c r="AM409" s="307"/>
      <c r="AN409" s="307"/>
      <c r="AO409" s="307"/>
      <c r="AP409" s="307"/>
      <c r="AQ409" s="307"/>
      <c r="AR409" s="307"/>
      <c r="AS409" s="307"/>
      <c r="AT409" s="307"/>
      <c r="AU409" s="307"/>
      <c r="AV409" s="307"/>
      <c r="AW409" s="307"/>
      <c r="AX409" s="307"/>
      <c r="AY409" s="307"/>
      <c r="AZ409" s="307"/>
      <c r="BA409" s="307"/>
      <c r="BB409" s="307"/>
      <c r="BC409" s="307"/>
      <c r="BD409" s="307"/>
      <c r="BE409" s="307"/>
      <c r="BF409" s="307"/>
      <c r="BG409" s="307"/>
      <c r="BH409" s="307"/>
      <c r="BI409" s="307"/>
      <c r="BJ409" s="307"/>
      <c r="BK409" s="307"/>
      <c r="BL409" s="307"/>
      <c r="BM409" s="307"/>
      <c r="BN409" s="307"/>
      <c r="BO409" s="307"/>
      <c r="BP409" s="307"/>
      <c r="BQ409" s="307"/>
      <c r="BR409" s="307"/>
      <c r="BS409" s="307"/>
      <c r="BT409" s="307"/>
      <c r="BU409" s="307"/>
      <c r="BV409" s="307"/>
      <c r="BW409" s="307"/>
      <c r="BX409" s="307"/>
      <c r="BY409" s="307"/>
      <c r="BZ409" s="307"/>
      <c r="CA409" s="307"/>
      <c r="CB409" s="307"/>
      <c r="CC409" s="307"/>
      <c r="CD409" s="307"/>
      <c r="CE409" s="307"/>
      <c r="CF409" s="307"/>
      <c r="CG409" s="307"/>
      <c r="CH409" s="307"/>
      <c r="CI409" s="307"/>
      <c r="CJ409" s="307"/>
      <c r="CK409" s="307"/>
      <c r="CL409" s="307"/>
      <c r="CM409" s="307"/>
      <c r="CN409" s="307"/>
      <c r="CO409" s="307"/>
      <c r="CP409" s="307"/>
      <c r="CQ409" s="307"/>
      <c r="CR409" s="307"/>
      <c r="CS409" s="307"/>
      <c r="CT409" s="307"/>
      <c r="CU409" s="307"/>
      <c r="CV409" s="307"/>
      <c r="CW409" s="307"/>
      <c r="CX409" s="307"/>
      <c r="CY409" s="307"/>
      <c r="CZ409" s="307"/>
      <c r="DA409" s="307"/>
      <c r="DB409" s="280"/>
      <c r="DC409" s="280"/>
      <c r="DD409" s="280"/>
      <c r="DE409" s="280"/>
      <c r="DF409" s="280"/>
      <c r="DG409" s="280"/>
      <c r="DH409" s="280"/>
      <c r="DI409" s="280"/>
      <c r="DJ409" s="280"/>
      <c r="DK409" s="280"/>
      <c r="DL409" s="280"/>
      <c r="DM409" s="280"/>
      <c r="DN409" s="280"/>
      <c r="DO409" s="280"/>
      <c r="DP409" s="280"/>
      <c r="DQ409" s="280"/>
      <c r="DR409" s="280"/>
      <c r="DS409" s="280"/>
      <c r="DT409" s="280"/>
      <c r="DU409" s="280"/>
      <c r="DV409" s="280"/>
      <c r="DW409" s="280"/>
      <c r="DX409" s="280"/>
      <c r="DY409" s="280"/>
      <c r="DZ409" s="280"/>
      <c r="EA409" s="280"/>
      <c r="EB409" s="280"/>
      <c r="EC409" s="280"/>
      <c r="ED409" s="280"/>
      <c r="EE409" s="280"/>
      <c r="EF409" s="280"/>
      <c r="EG409" s="280"/>
      <c r="EH409" s="280"/>
      <c r="EI409" s="280"/>
      <c r="EJ409" s="280"/>
      <c r="EK409" s="280"/>
      <c r="EL409" s="280"/>
      <c r="EM409" s="280"/>
      <c r="EN409" s="280"/>
      <c r="EO409" s="280"/>
      <c r="EP409" s="521"/>
      <c r="EQ409" s="521"/>
      <c r="ER409" s="521"/>
      <c r="ES409" s="521"/>
      <c r="ET409" s="521"/>
      <c r="EU409" s="521"/>
      <c r="EV409" s="521"/>
      <c r="EW409" s="521"/>
      <c r="EX409" s="521"/>
      <c r="EY409" s="521"/>
      <c r="EZ409" s="521"/>
      <c r="FA409" s="521"/>
      <c r="FB409" s="521"/>
      <c r="FC409" s="521"/>
      <c r="FD409" s="521"/>
      <c r="FE409" s="521"/>
      <c r="FF409" s="521"/>
      <c r="FG409" s="521"/>
      <c r="FH409" s="567"/>
      <c r="FI409" s="567"/>
      <c r="FJ409" s="567"/>
      <c r="FK409" s="567"/>
      <c r="FL409" s="567"/>
      <c r="FM409" s="567"/>
      <c r="FN409" s="567"/>
      <c r="FO409" s="567"/>
    </row>
    <row r="410" spans="1:171" s="568" customFormat="1" ht="13.9" customHeight="1">
      <c r="A410" s="566"/>
      <c r="B410" s="566"/>
      <c r="C410" s="566"/>
      <c r="D410" s="569"/>
      <c r="E410" s="570"/>
      <c r="F410" s="571"/>
      <c r="G410" s="571"/>
      <c r="H410" s="571"/>
      <c r="I410" s="571"/>
      <c r="J410" s="571"/>
      <c r="K410" s="572"/>
      <c r="L410" s="569"/>
      <c r="M410" s="569"/>
      <c r="N410" s="569"/>
      <c r="O410" s="569"/>
      <c r="P410" s="566"/>
      <c r="Q410" s="566"/>
      <c r="R410" s="566"/>
      <c r="S410" s="566"/>
      <c r="T410" s="566"/>
      <c r="U410" s="566"/>
      <c r="V410" s="566"/>
      <c r="W410" s="566"/>
      <c r="X410" s="553"/>
      <c r="Y410" s="553"/>
      <c r="Z410" s="553"/>
      <c r="AA410" s="554"/>
      <c r="AB410" s="550"/>
      <c r="AC410" s="550"/>
      <c r="AD410" s="550"/>
      <c r="AE410" s="307"/>
      <c r="AF410" s="307"/>
      <c r="AG410" s="307"/>
      <c r="AH410" s="307"/>
      <c r="AI410" s="307"/>
      <c r="AJ410" s="307"/>
      <c r="AK410" s="307"/>
      <c r="AL410" s="307"/>
      <c r="AM410" s="307"/>
      <c r="AN410" s="307"/>
      <c r="AO410" s="307"/>
      <c r="AP410" s="307"/>
      <c r="AQ410" s="307"/>
      <c r="AR410" s="307"/>
      <c r="AS410" s="307"/>
      <c r="AT410" s="307"/>
      <c r="AU410" s="307"/>
      <c r="AV410" s="307"/>
      <c r="AW410" s="307"/>
      <c r="AX410" s="307"/>
      <c r="AY410" s="307"/>
      <c r="AZ410" s="307"/>
      <c r="BA410" s="307"/>
      <c r="BB410" s="307"/>
      <c r="BC410" s="307"/>
      <c r="BD410" s="307"/>
      <c r="BE410" s="307"/>
      <c r="BF410" s="307"/>
      <c r="BG410" s="307"/>
      <c r="BH410" s="307"/>
      <c r="BI410" s="307"/>
      <c r="BJ410" s="307"/>
      <c r="BK410" s="307"/>
      <c r="BL410" s="307"/>
      <c r="BM410" s="307"/>
      <c r="BN410" s="307"/>
      <c r="BO410" s="307"/>
      <c r="BP410" s="307"/>
      <c r="BQ410" s="307"/>
      <c r="BR410" s="307"/>
      <c r="BS410" s="307"/>
      <c r="BT410" s="307"/>
      <c r="BU410" s="307"/>
      <c r="BV410" s="307"/>
      <c r="BW410" s="307"/>
      <c r="BX410" s="307"/>
      <c r="BY410" s="307"/>
      <c r="BZ410" s="307"/>
      <c r="CA410" s="307"/>
      <c r="CB410" s="307"/>
      <c r="CC410" s="307"/>
      <c r="CD410" s="307"/>
      <c r="CE410" s="307"/>
      <c r="CF410" s="307"/>
      <c r="CG410" s="307"/>
      <c r="CH410" s="307"/>
      <c r="CI410" s="307"/>
      <c r="CJ410" s="307"/>
      <c r="CK410" s="307"/>
      <c r="CL410" s="307"/>
      <c r="CM410" s="307"/>
      <c r="CN410" s="307"/>
      <c r="CO410" s="307"/>
      <c r="CP410" s="307"/>
      <c r="CQ410" s="307"/>
      <c r="CR410" s="307"/>
      <c r="CS410" s="307"/>
      <c r="CT410" s="307"/>
      <c r="CU410" s="307"/>
      <c r="CV410" s="307"/>
      <c r="CW410" s="307"/>
      <c r="CX410" s="307"/>
      <c r="CY410" s="307"/>
      <c r="CZ410" s="307"/>
      <c r="DA410" s="307"/>
      <c r="DB410" s="280"/>
      <c r="DC410" s="280"/>
      <c r="DD410" s="280"/>
      <c r="DE410" s="280"/>
      <c r="DF410" s="280"/>
      <c r="DG410" s="280"/>
      <c r="DH410" s="280"/>
      <c r="DI410" s="280"/>
      <c r="DJ410" s="280"/>
      <c r="DK410" s="280"/>
      <c r="DL410" s="280"/>
      <c r="DM410" s="280"/>
      <c r="DN410" s="280"/>
      <c r="DO410" s="280"/>
      <c r="DP410" s="280"/>
      <c r="DQ410" s="280"/>
      <c r="DR410" s="280"/>
      <c r="DS410" s="280"/>
      <c r="DT410" s="280"/>
      <c r="DU410" s="280"/>
      <c r="DV410" s="280"/>
      <c r="DW410" s="280"/>
      <c r="DX410" s="280"/>
      <c r="DY410" s="280"/>
      <c r="DZ410" s="280"/>
      <c r="EA410" s="280"/>
      <c r="EB410" s="280"/>
      <c r="EC410" s="280"/>
      <c r="ED410" s="280"/>
      <c r="EE410" s="280"/>
      <c r="EF410" s="280"/>
      <c r="EG410" s="280"/>
      <c r="EH410" s="280"/>
      <c r="EI410" s="280"/>
      <c r="EJ410" s="280"/>
      <c r="EK410" s="280"/>
      <c r="EL410" s="280"/>
      <c r="EM410" s="280"/>
      <c r="EN410" s="280"/>
      <c r="EO410" s="280"/>
      <c r="EP410" s="521"/>
      <c r="EQ410" s="521"/>
      <c r="ER410" s="521"/>
      <c r="ES410" s="521"/>
      <c r="ET410" s="521"/>
      <c r="EU410" s="521"/>
      <c r="EV410" s="521"/>
      <c r="EW410" s="521"/>
      <c r="EX410" s="521"/>
      <c r="EY410" s="521"/>
      <c r="EZ410" s="521"/>
      <c r="FA410" s="521"/>
      <c r="FB410" s="521"/>
      <c r="FC410" s="521"/>
      <c r="FD410" s="521"/>
      <c r="FE410" s="521"/>
      <c r="FF410" s="521"/>
      <c r="FG410" s="521"/>
      <c r="FH410" s="567"/>
      <c r="FI410" s="567"/>
      <c r="FJ410" s="567"/>
      <c r="FK410" s="567"/>
      <c r="FL410" s="567"/>
      <c r="FM410" s="567"/>
      <c r="FN410" s="567"/>
      <c r="FO410" s="567"/>
    </row>
    <row r="411" spans="1:171" s="568" customFormat="1" ht="13.9" customHeight="1">
      <c r="A411" s="566"/>
      <c r="B411" s="566"/>
      <c r="C411" s="566"/>
      <c r="D411" s="569"/>
      <c r="E411" s="570"/>
      <c r="F411" s="571"/>
      <c r="G411" s="571"/>
      <c r="H411" s="571"/>
      <c r="I411" s="571"/>
      <c r="J411" s="571"/>
      <c r="K411" s="572"/>
      <c r="L411" s="569"/>
      <c r="M411" s="569"/>
      <c r="N411" s="569"/>
      <c r="O411" s="569"/>
      <c r="P411" s="566"/>
      <c r="Q411" s="566"/>
      <c r="R411" s="566"/>
      <c r="S411" s="566"/>
      <c r="T411" s="566"/>
      <c r="U411" s="566"/>
      <c r="V411" s="566"/>
      <c r="W411" s="566"/>
      <c r="X411" s="553"/>
      <c r="Y411" s="553"/>
      <c r="Z411" s="553"/>
      <c r="AA411" s="554"/>
      <c r="AB411" s="550"/>
      <c r="AC411" s="550"/>
      <c r="AD411" s="550"/>
      <c r="AE411" s="307"/>
      <c r="AF411" s="307"/>
      <c r="AG411" s="307"/>
      <c r="AH411" s="307"/>
      <c r="AI411" s="307"/>
      <c r="AJ411" s="307"/>
      <c r="AK411" s="307"/>
      <c r="AL411" s="307"/>
      <c r="AM411" s="307"/>
      <c r="AN411" s="307"/>
      <c r="AO411" s="307"/>
      <c r="AP411" s="307"/>
      <c r="AQ411" s="307"/>
      <c r="AR411" s="307"/>
      <c r="AS411" s="307"/>
      <c r="AT411" s="307"/>
      <c r="AU411" s="307"/>
      <c r="AV411" s="307"/>
      <c r="AW411" s="307"/>
      <c r="AX411" s="307"/>
      <c r="AY411" s="307"/>
      <c r="AZ411" s="307"/>
      <c r="BA411" s="307"/>
      <c r="BB411" s="307"/>
      <c r="BC411" s="307"/>
      <c r="BD411" s="307"/>
      <c r="BE411" s="307"/>
      <c r="BF411" s="307"/>
      <c r="BG411" s="307"/>
      <c r="BH411" s="307"/>
      <c r="BI411" s="307"/>
      <c r="BJ411" s="307"/>
      <c r="BK411" s="307"/>
      <c r="BL411" s="307"/>
      <c r="BM411" s="307"/>
      <c r="BN411" s="307"/>
      <c r="BO411" s="307"/>
      <c r="BP411" s="307"/>
      <c r="BQ411" s="307"/>
      <c r="BR411" s="307"/>
      <c r="BS411" s="307"/>
      <c r="BT411" s="307"/>
      <c r="BU411" s="307"/>
      <c r="BV411" s="307"/>
      <c r="BW411" s="307"/>
      <c r="BX411" s="307"/>
      <c r="BY411" s="307"/>
      <c r="BZ411" s="307"/>
      <c r="CA411" s="307"/>
      <c r="CB411" s="307"/>
      <c r="CC411" s="307"/>
      <c r="CD411" s="307"/>
      <c r="CE411" s="307"/>
      <c r="CF411" s="307"/>
      <c r="CG411" s="307"/>
      <c r="CH411" s="307"/>
      <c r="CI411" s="307"/>
      <c r="CJ411" s="307"/>
      <c r="CK411" s="307"/>
      <c r="CL411" s="307"/>
      <c r="CM411" s="307"/>
      <c r="CN411" s="307"/>
      <c r="CO411" s="307"/>
      <c r="CP411" s="307"/>
      <c r="CQ411" s="307"/>
      <c r="CR411" s="307"/>
      <c r="CS411" s="307"/>
      <c r="CT411" s="307"/>
      <c r="CU411" s="307"/>
      <c r="CV411" s="307"/>
      <c r="CW411" s="307"/>
      <c r="CX411" s="307"/>
      <c r="CY411" s="307"/>
      <c r="CZ411" s="307"/>
      <c r="DA411" s="307"/>
      <c r="DB411" s="280"/>
      <c r="DC411" s="280"/>
      <c r="DD411" s="280"/>
      <c r="DE411" s="280"/>
      <c r="DF411" s="280"/>
      <c r="DG411" s="280"/>
      <c r="DH411" s="280"/>
      <c r="DI411" s="280"/>
      <c r="DJ411" s="280"/>
      <c r="DK411" s="280"/>
      <c r="DL411" s="280"/>
      <c r="DM411" s="280"/>
      <c r="DN411" s="280"/>
      <c r="DO411" s="280"/>
      <c r="DP411" s="280"/>
      <c r="DQ411" s="280"/>
      <c r="DR411" s="280"/>
      <c r="DS411" s="280"/>
      <c r="DT411" s="280"/>
      <c r="DU411" s="280"/>
      <c r="DV411" s="280"/>
      <c r="DW411" s="280"/>
      <c r="DX411" s="280"/>
      <c r="DY411" s="280"/>
      <c r="DZ411" s="280"/>
      <c r="EA411" s="280"/>
      <c r="EB411" s="280"/>
      <c r="EC411" s="280"/>
      <c r="ED411" s="280"/>
      <c r="EE411" s="280"/>
      <c r="EF411" s="280"/>
      <c r="EG411" s="280"/>
      <c r="EH411" s="280"/>
      <c r="EI411" s="280"/>
      <c r="EJ411" s="280"/>
      <c r="EK411" s="280"/>
      <c r="EL411" s="280"/>
      <c r="EM411" s="280"/>
      <c r="EN411" s="280"/>
      <c r="EO411" s="280"/>
      <c r="EP411" s="521"/>
      <c r="EQ411" s="521"/>
      <c r="ER411" s="521"/>
      <c r="ES411" s="521"/>
      <c r="ET411" s="521"/>
      <c r="EU411" s="521"/>
      <c r="EV411" s="521"/>
      <c r="EW411" s="521"/>
      <c r="EX411" s="521"/>
      <c r="EY411" s="521"/>
      <c r="EZ411" s="521"/>
      <c r="FA411" s="521"/>
      <c r="FB411" s="521"/>
      <c r="FC411" s="521"/>
      <c r="FD411" s="521"/>
      <c r="FE411" s="521"/>
      <c r="FF411" s="521"/>
      <c r="FG411" s="521"/>
      <c r="FH411" s="567"/>
      <c r="FI411" s="567"/>
      <c r="FJ411" s="567"/>
      <c r="FK411" s="567"/>
      <c r="FL411" s="567"/>
      <c r="FM411" s="567"/>
      <c r="FN411" s="567"/>
      <c r="FO411" s="567"/>
    </row>
    <row r="412" spans="1:171" s="568" customFormat="1" ht="13.9" customHeight="1">
      <c r="A412" s="566"/>
      <c r="B412" s="566"/>
      <c r="C412" s="566"/>
      <c r="D412" s="569"/>
      <c r="E412" s="570"/>
      <c r="F412" s="571"/>
      <c r="G412" s="571"/>
      <c r="H412" s="571"/>
      <c r="I412" s="571"/>
      <c r="J412" s="571"/>
      <c r="K412" s="572"/>
      <c r="L412" s="569"/>
      <c r="M412" s="569"/>
      <c r="N412" s="569"/>
      <c r="O412" s="569"/>
      <c r="P412" s="566"/>
      <c r="Q412" s="566"/>
      <c r="R412" s="566"/>
      <c r="S412" s="566"/>
      <c r="T412" s="566"/>
      <c r="U412" s="566"/>
      <c r="V412" s="566"/>
      <c r="W412" s="566"/>
      <c r="X412" s="553"/>
      <c r="Y412" s="553"/>
      <c r="Z412" s="553"/>
      <c r="AA412" s="554"/>
      <c r="AB412" s="550"/>
      <c r="AC412" s="550"/>
      <c r="AD412" s="550"/>
      <c r="AE412" s="307"/>
      <c r="AF412" s="307"/>
      <c r="AG412" s="307"/>
      <c r="AH412" s="307"/>
      <c r="AI412" s="307"/>
      <c r="AJ412" s="307"/>
      <c r="AK412" s="307"/>
      <c r="AL412" s="307"/>
      <c r="AM412" s="307"/>
      <c r="AN412" s="307"/>
      <c r="AO412" s="307"/>
      <c r="AP412" s="307"/>
      <c r="AQ412" s="307"/>
      <c r="AR412" s="307"/>
      <c r="AS412" s="307"/>
      <c r="AT412" s="307"/>
      <c r="AU412" s="307"/>
      <c r="AV412" s="307"/>
      <c r="AW412" s="307"/>
      <c r="AX412" s="307"/>
      <c r="AY412" s="307"/>
      <c r="AZ412" s="307"/>
      <c r="BA412" s="307"/>
      <c r="BB412" s="307"/>
      <c r="BC412" s="307"/>
      <c r="BD412" s="307"/>
      <c r="BE412" s="307"/>
      <c r="BF412" s="307"/>
      <c r="BG412" s="307"/>
      <c r="BH412" s="307"/>
      <c r="BI412" s="307"/>
      <c r="BJ412" s="307"/>
      <c r="BK412" s="307"/>
      <c r="BL412" s="307"/>
      <c r="BM412" s="307"/>
      <c r="BN412" s="307"/>
      <c r="BO412" s="307"/>
      <c r="BP412" s="307"/>
      <c r="BQ412" s="307"/>
      <c r="BR412" s="307"/>
      <c r="BS412" s="307"/>
      <c r="BT412" s="307"/>
      <c r="BU412" s="307"/>
      <c r="BV412" s="307"/>
      <c r="BW412" s="307"/>
      <c r="BX412" s="307"/>
      <c r="BY412" s="307"/>
      <c r="BZ412" s="307"/>
      <c r="CA412" s="307"/>
      <c r="CB412" s="307"/>
      <c r="CC412" s="307"/>
      <c r="CD412" s="307"/>
      <c r="CE412" s="307"/>
      <c r="CF412" s="307"/>
      <c r="CG412" s="307"/>
      <c r="CH412" s="307"/>
      <c r="CI412" s="307"/>
      <c r="CJ412" s="307"/>
      <c r="CK412" s="307"/>
      <c r="CL412" s="307"/>
      <c r="CM412" s="307"/>
      <c r="CN412" s="307"/>
      <c r="CO412" s="307"/>
      <c r="CP412" s="307"/>
      <c r="CQ412" s="307"/>
      <c r="CR412" s="307"/>
      <c r="CS412" s="307"/>
      <c r="CT412" s="307"/>
      <c r="CU412" s="307"/>
      <c r="CV412" s="307"/>
      <c r="CW412" s="307"/>
      <c r="CX412" s="307"/>
      <c r="CY412" s="307"/>
      <c r="CZ412" s="307"/>
      <c r="DA412" s="307"/>
      <c r="DB412" s="280"/>
      <c r="DC412" s="280"/>
      <c r="DD412" s="280"/>
      <c r="DE412" s="280"/>
      <c r="DF412" s="280"/>
      <c r="DG412" s="280"/>
      <c r="DH412" s="280"/>
      <c r="DI412" s="280"/>
      <c r="DJ412" s="280"/>
      <c r="DK412" s="280"/>
      <c r="DL412" s="280"/>
      <c r="DM412" s="280"/>
      <c r="DN412" s="280"/>
      <c r="DO412" s="280"/>
      <c r="DP412" s="280"/>
      <c r="DQ412" s="280"/>
      <c r="DR412" s="280"/>
      <c r="DS412" s="280"/>
      <c r="DT412" s="280"/>
      <c r="DU412" s="280"/>
      <c r="DV412" s="280"/>
      <c r="DW412" s="280"/>
      <c r="DX412" s="280"/>
      <c r="DY412" s="280"/>
      <c r="DZ412" s="280"/>
      <c r="EA412" s="280"/>
      <c r="EB412" s="280"/>
      <c r="EC412" s="280"/>
      <c r="ED412" s="280"/>
      <c r="EE412" s="280"/>
      <c r="EF412" s="280"/>
      <c r="EG412" s="280"/>
      <c r="EH412" s="280"/>
      <c r="EI412" s="280"/>
      <c r="EJ412" s="280"/>
      <c r="EK412" s="280"/>
      <c r="EL412" s="280"/>
      <c r="EM412" s="280"/>
      <c r="EN412" s="280"/>
      <c r="EO412" s="280"/>
      <c r="EP412" s="521"/>
      <c r="EQ412" s="521"/>
      <c r="ER412" s="521"/>
      <c r="ES412" s="521"/>
      <c r="ET412" s="521"/>
      <c r="EU412" s="521"/>
      <c r="EV412" s="521"/>
      <c r="EW412" s="521"/>
      <c r="EX412" s="521"/>
      <c r="EY412" s="521"/>
      <c r="EZ412" s="521"/>
      <c r="FA412" s="521"/>
      <c r="FB412" s="521"/>
      <c r="FC412" s="521"/>
      <c r="FD412" s="521"/>
      <c r="FE412" s="521"/>
      <c r="FF412" s="521"/>
      <c r="FG412" s="521"/>
      <c r="FH412" s="567"/>
      <c r="FI412" s="567"/>
      <c r="FJ412" s="567"/>
      <c r="FK412" s="567"/>
      <c r="FL412" s="567"/>
      <c r="FM412" s="567"/>
      <c r="FN412" s="567"/>
      <c r="FO412" s="567"/>
    </row>
    <row r="413" spans="1:171" s="568" customFormat="1" ht="13.9" customHeight="1">
      <c r="A413" s="566"/>
      <c r="B413" s="566"/>
      <c r="C413" s="566"/>
      <c r="D413" s="569"/>
      <c r="E413" s="570"/>
      <c r="F413" s="571"/>
      <c r="G413" s="571"/>
      <c r="H413" s="571"/>
      <c r="I413" s="571"/>
      <c r="J413" s="571"/>
      <c r="K413" s="572"/>
      <c r="L413" s="569"/>
      <c r="M413" s="569"/>
      <c r="N413" s="569"/>
      <c r="O413" s="569"/>
      <c r="P413" s="566"/>
      <c r="Q413" s="566"/>
      <c r="R413" s="566"/>
      <c r="S413" s="566"/>
      <c r="T413" s="566"/>
      <c r="U413" s="566"/>
      <c r="V413" s="566"/>
      <c r="W413" s="566"/>
      <c r="X413" s="553"/>
      <c r="Y413" s="553"/>
      <c r="Z413" s="553"/>
      <c r="AA413" s="554"/>
      <c r="AB413" s="550"/>
      <c r="AC413" s="550"/>
      <c r="AD413" s="550"/>
      <c r="AE413" s="307"/>
      <c r="AF413" s="307"/>
      <c r="AG413" s="307"/>
      <c r="AH413" s="307"/>
      <c r="AI413" s="307"/>
      <c r="AJ413" s="307"/>
      <c r="AK413" s="307"/>
      <c r="AL413" s="307"/>
      <c r="AM413" s="307"/>
      <c r="AN413" s="307"/>
      <c r="AO413" s="307"/>
      <c r="AP413" s="307"/>
      <c r="AQ413" s="307"/>
      <c r="AR413" s="307"/>
      <c r="AS413" s="307"/>
      <c r="AT413" s="307"/>
      <c r="AU413" s="307"/>
      <c r="AV413" s="307"/>
      <c r="AW413" s="307"/>
      <c r="AX413" s="307"/>
      <c r="AY413" s="307"/>
      <c r="AZ413" s="307"/>
      <c r="BA413" s="307"/>
      <c r="BB413" s="307"/>
      <c r="BC413" s="307"/>
      <c r="BD413" s="307"/>
      <c r="BE413" s="307"/>
      <c r="BF413" s="307"/>
      <c r="BG413" s="307"/>
      <c r="BH413" s="307"/>
      <c r="BI413" s="307"/>
      <c r="BJ413" s="307"/>
      <c r="BK413" s="307"/>
      <c r="BL413" s="307"/>
      <c r="BM413" s="307"/>
      <c r="BN413" s="307"/>
      <c r="BO413" s="307"/>
      <c r="BP413" s="307"/>
      <c r="BQ413" s="307"/>
      <c r="BR413" s="307"/>
      <c r="BS413" s="307"/>
      <c r="BT413" s="307"/>
      <c r="BU413" s="307"/>
      <c r="BV413" s="307"/>
      <c r="BW413" s="307"/>
      <c r="BX413" s="307"/>
      <c r="BY413" s="307"/>
      <c r="BZ413" s="307"/>
      <c r="CA413" s="307"/>
      <c r="CB413" s="307"/>
      <c r="CC413" s="307"/>
      <c r="CD413" s="307"/>
      <c r="CE413" s="307"/>
      <c r="CF413" s="307"/>
      <c r="CG413" s="307"/>
      <c r="CH413" s="307"/>
      <c r="CI413" s="307"/>
      <c r="CJ413" s="307"/>
      <c r="CK413" s="307"/>
      <c r="CL413" s="307"/>
      <c r="CM413" s="307"/>
      <c r="CN413" s="307"/>
      <c r="CO413" s="307"/>
      <c r="CP413" s="307"/>
      <c r="CQ413" s="307"/>
      <c r="CR413" s="307"/>
      <c r="CS413" s="307"/>
      <c r="CT413" s="307"/>
      <c r="CU413" s="307"/>
      <c r="CV413" s="307"/>
      <c r="CW413" s="307"/>
      <c r="CX413" s="307"/>
      <c r="CY413" s="307"/>
      <c r="CZ413" s="307"/>
      <c r="DA413" s="307"/>
      <c r="DB413" s="280"/>
      <c r="DC413" s="280"/>
      <c r="DD413" s="280"/>
      <c r="DE413" s="280"/>
      <c r="DF413" s="280"/>
      <c r="DG413" s="280"/>
      <c r="DH413" s="280"/>
      <c r="DI413" s="280"/>
      <c r="DJ413" s="280"/>
      <c r="DK413" s="280"/>
      <c r="DL413" s="280"/>
      <c r="DM413" s="280"/>
      <c r="DN413" s="280"/>
      <c r="DO413" s="280"/>
      <c r="DP413" s="280"/>
      <c r="DQ413" s="280"/>
      <c r="DR413" s="280"/>
      <c r="DS413" s="280"/>
      <c r="DT413" s="280"/>
      <c r="DU413" s="280"/>
      <c r="DV413" s="280"/>
      <c r="DW413" s="280"/>
      <c r="DX413" s="280"/>
      <c r="DY413" s="280"/>
      <c r="DZ413" s="280"/>
      <c r="EA413" s="280"/>
      <c r="EB413" s="280"/>
      <c r="EC413" s="280"/>
      <c r="ED413" s="280"/>
      <c r="EE413" s="280"/>
      <c r="EF413" s="280"/>
      <c r="EG413" s="280"/>
      <c r="EH413" s="280"/>
      <c r="EI413" s="280"/>
      <c r="EJ413" s="280"/>
      <c r="EK413" s="280"/>
      <c r="EL413" s="280"/>
      <c r="EM413" s="280"/>
      <c r="EN413" s="280"/>
      <c r="EO413" s="280"/>
      <c r="EP413" s="521"/>
      <c r="EQ413" s="521"/>
      <c r="ER413" s="521"/>
      <c r="ES413" s="521"/>
      <c r="ET413" s="521"/>
      <c r="EU413" s="521"/>
      <c r="EV413" s="521"/>
      <c r="EW413" s="521"/>
      <c r="EX413" s="521"/>
      <c r="EY413" s="521"/>
      <c r="EZ413" s="521"/>
      <c r="FA413" s="521"/>
      <c r="FB413" s="521"/>
      <c r="FC413" s="521"/>
      <c r="FD413" s="521"/>
      <c r="FE413" s="521"/>
      <c r="FF413" s="521"/>
      <c r="FG413" s="521"/>
      <c r="FH413" s="567"/>
      <c r="FI413" s="567"/>
      <c r="FJ413" s="567"/>
      <c r="FK413" s="567"/>
      <c r="FL413" s="567"/>
      <c r="FM413" s="567"/>
      <c r="FN413" s="567"/>
      <c r="FO413" s="567"/>
    </row>
    <row r="414" spans="1:171" s="568" customFormat="1" ht="13.9" customHeight="1">
      <c r="A414" s="566"/>
      <c r="B414" s="566"/>
      <c r="C414" s="566"/>
      <c r="D414" s="569"/>
      <c r="E414" s="570"/>
      <c r="F414" s="571"/>
      <c r="G414" s="571"/>
      <c r="H414" s="571"/>
      <c r="I414" s="571"/>
      <c r="J414" s="571"/>
      <c r="K414" s="572"/>
      <c r="L414" s="569"/>
      <c r="M414" s="569"/>
      <c r="N414" s="569"/>
      <c r="O414" s="569"/>
      <c r="P414" s="566"/>
      <c r="Q414" s="566"/>
      <c r="R414" s="566"/>
      <c r="S414" s="566"/>
      <c r="T414" s="566"/>
      <c r="U414" s="566"/>
      <c r="V414" s="566"/>
      <c r="W414" s="566"/>
      <c r="X414" s="553"/>
      <c r="Y414" s="553"/>
      <c r="Z414" s="553"/>
      <c r="AA414" s="554"/>
      <c r="AB414" s="550"/>
      <c r="AC414" s="550"/>
      <c r="AD414" s="550"/>
      <c r="AE414" s="307"/>
      <c r="AF414" s="307"/>
      <c r="AG414" s="307"/>
      <c r="AH414" s="307"/>
      <c r="AI414" s="307"/>
      <c r="AJ414" s="307"/>
      <c r="AK414" s="307"/>
      <c r="AL414" s="307"/>
      <c r="AM414" s="307"/>
      <c r="AN414" s="307"/>
      <c r="AO414" s="307"/>
      <c r="AP414" s="307"/>
      <c r="AQ414" s="307"/>
      <c r="AR414" s="307"/>
      <c r="AS414" s="307"/>
      <c r="AT414" s="307"/>
      <c r="AU414" s="307"/>
      <c r="AV414" s="307"/>
      <c r="AW414" s="307"/>
      <c r="AX414" s="307"/>
      <c r="AY414" s="307"/>
      <c r="AZ414" s="307"/>
      <c r="BA414" s="307"/>
      <c r="BB414" s="307"/>
      <c r="BC414" s="307"/>
      <c r="BD414" s="307"/>
      <c r="BE414" s="307"/>
      <c r="BF414" s="307"/>
      <c r="BG414" s="307"/>
      <c r="BH414" s="307"/>
      <c r="BI414" s="307"/>
      <c r="BJ414" s="307"/>
      <c r="BK414" s="307"/>
      <c r="BL414" s="307"/>
      <c r="BM414" s="307"/>
      <c r="BN414" s="307"/>
      <c r="BO414" s="307"/>
      <c r="BP414" s="307"/>
      <c r="BQ414" s="307"/>
      <c r="BR414" s="307"/>
      <c r="BS414" s="307"/>
      <c r="BT414" s="307"/>
      <c r="BU414" s="307"/>
      <c r="BV414" s="307"/>
      <c r="BW414" s="307"/>
      <c r="BX414" s="307"/>
      <c r="BY414" s="307"/>
      <c r="BZ414" s="307"/>
      <c r="CA414" s="307"/>
      <c r="CB414" s="307"/>
      <c r="CC414" s="307"/>
      <c r="CD414" s="307"/>
      <c r="CE414" s="307"/>
      <c r="CF414" s="307"/>
      <c r="CG414" s="307"/>
      <c r="CH414" s="307"/>
      <c r="CI414" s="307"/>
      <c r="CJ414" s="307"/>
      <c r="CK414" s="307"/>
      <c r="CL414" s="307"/>
      <c r="CM414" s="307"/>
      <c r="CN414" s="307"/>
      <c r="CO414" s="307"/>
      <c r="CP414" s="307"/>
      <c r="CQ414" s="307"/>
      <c r="CR414" s="307"/>
      <c r="CS414" s="307"/>
      <c r="CT414" s="307"/>
      <c r="CU414" s="307"/>
      <c r="CV414" s="307"/>
      <c r="CW414" s="307"/>
      <c r="CX414" s="307"/>
      <c r="CY414" s="307"/>
      <c r="CZ414" s="307"/>
      <c r="DA414" s="307"/>
      <c r="DB414" s="280"/>
      <c r="DC414" s="280"/>
      <c r="DD414" s="280"/>
      <c r="DE414" s="280"/>
      <c r="DF414" s="280"/>
      <c r="DG414" s="280"/>
      <c r="DH414" s="280"/>
      <c r="DI414" s="280"/>
      <c r="DJ414" s="280"/>
      <c r="DK414" s="280"/>
      <c r="DL414" s="280"/>
      <c r="DM414" s="280"/>
      <c r="DN414" s="280"/>
      <c r="DO414" s="280"/>
      <c r="DP414" s="280"/>
      <c r="DQ414" s="280"/>
      <c r="DR414" s="280"/>
      <c r="DS414" s="280"/>
      <c r="DT414" s="280"/>
      <c r="DU414" s="280"/>
      <c r="DV414" s="280"/>
      <c r="DW414" s="280"/>
      <c r="DX414" s="280"/>
      <c r="DY414" s="280"/>
      <c r="DZ414" s="280"/>
      <c r="EA414" s="280"/>
      <c r="EB414" s="280"/>
      <c r="EC414" s="280"/>
      <c r="ED414" s="280"/>
      <c r="EE414" s="280"/>
      <c r="EF414" s="280"/>
      <c r="EG414" s="280"/>
      <c r="EH414" s="280"/>
      <c r="EI414" s="280"/>
      <c r="EJ414" s="280"/>
      <c r="EK414" s="280"/>
      <c r="EL414" s="280"/>
      <c r="EM414" s="280"/>
      <c r="EN414" s="280"/>
      <c r="EO414" s="280"/>
      <c r="EP414" s="521"/>
      <c r="EQ414" s="521"/>
      <c r="ER414" s="521"/>
      <c r="ES414" s="521"/>
      <c r="ET414" s="521"/>
      <c r="EU414" s="521"/>
      <c r="EV414" s="521"/>
      <c r="EW414" s="521"/>
      <c r="EX414" s="521"/>
      <c r="EY414" s="521"/>
      <c r="EZ414" s="521"/>
      <c r="FA414" s="521"/>
      <c r="FB414" s="521"/>
      <c r="FC414" s="521"/>
      <c r="FD414" s="521"/>
      <c r="FE414" s="521"/>
      <c r="FF414" s="521"/>
      <c r="FG414" s="521"/>
      <c r="FH414" s="567"/>
      <c r="FI414" s="567"/>
      <c r="FJ414" s="567"/>
      <c r="FK414" s="567"/>
      <c r="FL414" s="567"/>
      <c r="FM414" s="567"/>
      <c r="FN414" s="567"/>
      <c r="FO414" s="567"/>
    </row>
    <row r="415" spans="1:171" s="568" customFormat="1" ht="13.9" customHeight="1">
      <c r="A415" s="566"/>
      <c r="B415" s="566"/>
      <c r="C415" s="566"/>
      <c r="D415" s="569"/>
      <c r="E415" s="570"/>
      <c r="F415" s="571"/>
      <c r="G415" s="571"/>
      <c r="H415" s="571"/>
      <c r="I415" s="571"/>
      <c r="J415" s="571"/>
      <c r="K415" s="572"/>
      <c r="L415" s="569"/>
      <c r="M415" s="569"/>
      <c r="N415" s="569"/>
      <c r="O415" s="569"/>
      <c r="P415" s="566"/>
      <c r="Q415" s="566"/>
      <c r="R415" s="566"/>
      <c r="S415" s="566"/>
      <c r="T415" s="566"/>
      <c r="U415" s="566"/>
      <c r="V415" s="566"/>
      <c r="W415" s="566"/>
      <c r="X415" s="553"/>
      <c r="Y415" s="553"/>
      <c r="Z415" s="553"/>
      <c r="AA415" s="554"/>
      <c r="AB415" s="550"/>
      <c r="AC415" s="550"/>
      <c r="AD415" s="550"/>
      <c r="AE415" s="307"/>
      <c r="AF415" s="307"/>
      <c r="AG415" s="307"/>
      <c r="AH415" s="307"/>
      <c r="AI415" s="307"/>
      <c r="AJ415" s="307"/>
      <c r="AK415" s="307"/>
      <c r="AL415" s="307"/>
      <c r="AM415" s="307"/>
      <c r="AN415" s="307"/>
      <c r="AO415" s="307"/>
      <c r="AP415" s="307"/>
      <c r="AQ415" s="307"/>
      <c r="AR415" s="307"/>
      <c r="AS415" s="307"/>
      <c r="AT415" s="307"/>
      <c r="AU415" s="307"/>
      <c r="AV415" s="307"/>
      <c r="AW415" s="307"/>
      <c r="AX415" s="307"/>
      <c r="AY415" s="307"/>
      <c r="AZ415" s="307"/>
      <c r="BA415" s="307"/>
      <c r="BB415" s="307"/>
      <c r="BC415" s="307"/>
      <c r="BD415" s="307"/>
      <c r="BE415" s="307"/>
      <c r="BF415" s="307"/>
      <c r="BG415" s="307"/>
      <c r="BH415" s="307"/>
      <c r="BI415" s="307"/>
      <c r="BJ415" s="307"/>
      <c r="BK415" s="307"/>
      <c r="BL415" s="307"/>
      <c r="BM415" s="307"/>
      <c r="BN415" s="307"/>
      <c r="BO415" s="307"/>
      <c r="BP415" s="307"/>
      <c r="BQ415" s="307"/>
      <c r="BR415" s="307"/>
      <c r="BS415" s="307"/>
      <c r="BT415" s="307"/>
      <c r="BU415" s="307"/>
      <c r="BV415" s="307"/>
      <c r="BW415" s="307"/>
      <c r="BX415" s="307"/>
      <c r="BY415" s="307"/>
      <c r="BZ415" s="307"/>
      <c r="CA415" s="307"/>
      <c r="CB415" s="307"/>
      <c r="CC415" s="307"/>
      <c r="CD415" s="307"/>
      <c r="CE415" s="307"/>
      <c r="CF415" s="307"/>
      <c r="CG415" s="307"/>
      <c r="CH415" s="307"/>
      <c r="CI415" s="307"/>
      <c r="CJ415" s="307"/>
      <c r="CK415" s="307"/>
      <c r="CL415" s="307"/>
      <c r="CM415" s="307"/>
      <c r="CN415" s="307"/>
      <c r="CO415" s="307"/>
      <c r="CP415" s="307"/>
      <c r="CQ415" s="307"/>
      <c r="CR415" s="307"/>
      <c r="CS415" s="307"/>
      <c r="CT415" s="307"/>
      <c r="CU415" s="307"/>
      <c r="CV415" s="307"/>
      <c r="CW415" s="307"/>
      <c r="CX415" s="307"/>
      <c r="CY415" s="307"/>
      <c r="CZ415" s="307"/>
      <c r="DA415" s="307"/>
      <c r="DB415" s="280"/>
      <c r="DC415" s="280"/>
      <c r="DD415" s="280"/>
      <c r="DE415" s="280"/>
      <c r="DF415" s="280"/>
      <c r="DG415" s="280"/>
      <c r="DH415" s="280"/>
      <c r="DI415" s="280"/>
      <c r="DJ415" s="280"/>
      <c r="DK415" s="280"/>
      <c r="DL415" s="280"/>
      <c r="DM415" s="280"/>
      <c r="DN415" s="280"/>
      <c r="DO415" s="280"/>
      <c r="DP415" s="280"/>
      <c r="DQ415" s="280"/>
      <c r="DR415" s="280"/>
      <c r="DS415" s="280"/>
      <c r="DT415" s="280"/>
      <c r="DU415" s="280"/>
      <c r="DV415" s="280"/>
      <c r="DW415" s="280"/>
      <c r="DX415" s="280"/>
      <c r="DY415" s="280"/>
      <c r="DZ415" s="280"/>
      <c r="EA415" s="280"/>
      <c r="EB415" s="280"/>
      <c r="EC415" s="280"/>
      <c r="ED415" s="280"/>
      <c r="EE415" s="280"/>
      <c r="EF415" s="280"/>
      <c r="EG415" s="280"/>
      <c r="EH415" s="280"/>
      <c r="EI415" s="280"/>
      <c r="EJ415" s="280"/>
      <c r="EK415" s="280"/>
      <c r="EL415" s="280"/>
      <c r="EM415" s="280"/>
      <c r="EN415" s="280"/>
      <c r="EO415" s="280"/>
      <c r="EP415" s="521"/>
      <c r="EQ415" s="521"/>
      <c r="ER415" s="521"/>
      <c r="ES415" s="521"/>
      <c r="ET415" s="521"/>
      <c r="EU415" s="521"/>
      <c r="EV415" s="521"/>
      <c r="EW415" s="521"/>
      <c r="EX415" s="521"/>
      <c r="EY415" s="521"/>
      <c r="EZ415" s="521"/>
      <c r="FA415" s="521"/>
      <c r="FB415" s="521"/>
      <c r="FC415" s="521"/>
      <c r="FD415" s="521"/>
      <c r="FE415" s="521"/>
      <c r="FF415" s="521"/>
      <c r="FG415" s="521"/>
      <c r="FH415" s="567"/>
      <c r="FI415" s="567"/>
      <c r="FJ415" s="567"/>
      <c r="FK415" s="567"/>
      <c r="FL415" s="567"/>
      <c r="FM415" s="567"/>
      <c r="FN415" s="567"/>
      <c r="FO415" s="567"/>
    </row>
    <row r="416" spans="1:171" s="568" customFormat="1" ht="13.9" customHeight="1">
      <c r="A416" s="566"/>
      <c r="B416" s="566"/>
      <c r="C416" s="566"/>
      <c r="D416" s="569"/>
      <c r="E416" s="570"/>
      <c r="F416" s="571"/>
      <c r="G416" s="571"/>
      <c r="H416" s="571"/>
      <c r="I416" s="571"/>
      <c r="J416" s="571"/>
      <c r="K416" s="572"/>
      <c r="L416" s="569"/>
      <c r="M416" s="569"/>
      <c r="N416" s="569"/>
      <c r="O416" s="569"/>
      <c r="P416" s="566"/>
      <c r="Q416" s="566"/>
      <c r="R416" s="566"/>
      <c r="S416" s="566"/>
      <c r="T416" s="566"/>
      <c r="U416" s="566"/>
      <c r="V416" s="566"/>
      <c r="W416" s="566"/>
      <c r="X416" s="553"/>
      <c r="Y416" s="553"/>
      <c r="Z416" s="553"/>
      <c r="AA416" s="554"/>
      <c r="AB416" s="550"/>
      <c r="AC416" s="550"/>
      <c r="AD416" s="550"/>
      <c r="AE416" s="307"/>
      <c r="AF416" s="307"/>
      <c r="AG416" s="307"/>
      <c r="AH416" s="307"/>
      <c r="AI416" s="307"/>
      <c r="AJ416" s="307"/>
      <c r="AK416" s="307"/>
      <c r="AL416" s="307"/>
      <c r="AM416" s="307"/>
      <c r="AN416" s="307"/>
      <c r="AO416" s="307"/>
      <c r="AP416" s="307"/>
      <c r="AQ416" s="307"/>
      <c r="AR416" s="307"/>
      <c r="AS416" s="307"/>
      <c r="AT416" s="307"/>
      <c r="AU416" s="307"/>
      <c r="AV416" s="307"/>
      <c r="AW416" s="307"/>
      <c r="AX416" s="307"/>
      <c r="AY416" s="307"/>
      <c r="AZ416" s="307"/>
      <c r="BA416" s="307"/>
      <c r="BB416" s="307"/>
      <c r="BC416" s="307"/>
      <c r="BD416" s="307"/>
      <c r="BE416" s="307"/>
      <c r="BF416" s="307"/>
      <c r="BG416" s="307"/>
      <c r="BH416" s="307"/>
      <c r="BI416" s="307"/>
      <c r="BJ416" s="307"/>
      <c r="BK416" s="307"/>
      <c r="BL416" s="307"/>
      <c r="BM416" s="307"/>
      <c r="BN416" s="307"/>
      <c r="BO416" s="307"/>
      <c r="BP416" s="307"/>
      <c r="BQ416" s="307"/>
      <c r="BR416" s="307"/>
      <c r="BS416" s="307"/>
      <c r="BT416" s="307"/>
      <c r="BU416" s="307"/>
      <c r="BV416" s="307"/>
      <c r="BW416" s="307"/>
      <c r="BX416" s="307"/>
      <c r="BY416" s="307"/>
      <c r="BZ416" s="307"/>
      <c r="CA416" s="307"/>
      <c r="CB416" s="307"/>
      <c r="CC416" s="307"/>
      <c r="CD416" s="307"/>
      <c r="CE416" s="307"/>
      <c r="CF416" s="307"/>
      <c r="CG416" s="307"/>
      <c r="CH416" s="307"/>
      <c r="CI416" s="307"/>
      <c r="CJ416" s="307"/>
      <c r="CK416" s="307"/>
      <c r="CL416" s="307"/>
      <c r="CM416" s="307"/>
      <c r="CN416" s="307"/>
      <c r="CO416" s="307"/>
      <c r="CP416" s="307"/>
      <c r="CQ416" s="307"/>
      <c r="CR416" s="307"/>
      <c r="CS416" s="307"/>
      <c r="CT416" s="307"/>
      <c r="CU416" s="307"/>
      <c r="CV416" s="307"/>
      <c r="CW416" s="307"/>
      <c r="CX416" s="307"/>
      <c r="CY416" s="307"/>
      <c r="CZ416" s="307"/>
      <c r="DA416" s="307"/>
      <c r="DB416" s="280"/>
      <c r="DC416" s="280"/>
      <c r="DD416" s="280"/>
      <c r="DE416" s="280"/>
      <c r="DF416" s="280"/>
      <c r="DG416" s="280"/>
      <c r="DH416" s="280"/>
      <c r="DI416" s="280"/>
      <c r="DJ416" s="280"/>
      <c r="DK416" s="280"/>
      <c r="DL416" s="280"/>
      <c r="DM416" s="280"/>
      <c r="DN416" s="280"/>
      <c r="DO416" s="280"/>
      <c r="DP416" s="280"/>
      <c r="DQ416" s="280"/>
      <c r="DR416" s="280"/>
      <c r="DS416" s="280"/>
      <c r="DT416" s="280"/>
      <c r="DU416" s="280"/>
      <c r="DV416" s="280"/>
      <c r="DW416" s="280"/>
      <c r="DX416" s="280"/>
      <c r="DY416" s="280"/>
      <c r="DZ416" s="280"/>
      <c r="EA416" s="280"/>
      <c r="EB416" s="280"/>
      <c r="EC416" s="280"/>
      <c r="ED416" s="280"/>
      <c r="EE416" s="280"/>
      <c r="EF416" s="280"/>
      <c r="EG416" s="280"/>
      <c r="EH416" s="280"/>
      <c r="EI416" s="280"/>
      <c r="EJ416" s="280"/>
      <c r="EK416" s="280"/>
      <c r="EL416" s="280"/>
      <c r="EM416" s="280"/>
      <c r="EN416" s="280"/>
      <c r="EO416" s="280"/>
      <c r="EP416" s="521"/>
      <c r="EQ416" s="521"/>
      <c r="ER416" s="521"/>
      <c r="ES416" s="521"/>
      <c r="ET416" s="521"/>
      <c r="EU416" s="521"/>
      <c r="EV416" s="521"/>
      <c r="EW416" s="521"/>
      <c r="EX416" s="521"/>
      <c r="EY416" s="521"/>
      <c r="EZ416" s="521"/>
      <c r="FA416" s="521"/>
      <c r="FB416" s="521"/>
      <c r="FC416" s="521"/>
      <c r="FD416" s="521"/>
      <c r="FE416" s="521"/>
      <c r="FF416" s="521"/>
      <c r="FG416" s="521"/>
      <c r="FH416" s="567"/>
      <c r="FI416" s="567"/>
      <c r="FJ416" s="567"/>
      <c r="FK416" s="567"/>
      <c r="FL416" s="567"/>
      <c r="FM416" s="567"/>
      <c r="FN416" s="567"/>
      <c r="FO416" s="567"/>
    </row>
    <row r="417" spans="1:171" s="568" customFormat="1" ht="13.9" customHeight="1">
      <c r="A417" s="566"/>
      <c r="B417" s="566"/>
      <c r="C417" s="566"/>
      <c r="D417" s="569"/>
      <c r="E417" s="570"/>
      <c r="F417" s="571"/>
      <c r="G417" s="571"/>
      <c r="H417" s="571"/>
      <c r="I417" s="571"/>
      <c r="J417" s="571"/>
      <c r="K417" s="572"/>
      <c r="L417" s="569"/>
      <c r="M417" s="569"/>
      <c r="N417" s="569"/>
      <c r="O417" s="569"/>
      <c r="P417" s="566"/>
      <c r="Q417" s="566"/>
      <c r="R417" s="566"/>
      <c r="S417" s="566"/>
      <c r="T417" s="566"/>
      <c r="U417" s="566"/>
      <c r="V417" s="566"/>
      <c r="W417" s="566"/>
      <c r="X417" s="553"/>
      <c r="Y417" s="553"/>
      <c r="Z417" s="553"/>
      <c r="AA417" s="554"/>
      <c r="AB417" s="550"/>
      <c r="AC417" s="550"/>
      <c r="AD417" s="550"/>
      <c r="AE417" s="307"/>
      <c r="AF417" s="307"/>
      <c r="AG417" s="307"/>
      <c r="AH417" s="307"/>
      <c r="AI417" s="307"/>
      <c r="AJ417" s="307"/>
      <c r="AK417" s="307"/>
      <c r="AL417" s="307"/>
      <c r="AM417" s="307"/>
      <c r="AN417" s="307"/>
      <c r="AO417" s="307"/>
      <c r="AP417" s="307"/>
      <c r="AQ417" s="307"/>
      <c r="AR417" s="307"/>
      <c r="AS417" s="307"/>
      <c r="AT417" s="307"/>
      <c r="AU417" s="307"/>
      <c r="AV417" s="307"/>
      <c r="AW417" s="307"/>
      <c r="AX417" s="307"/>
      <c r="AY417" s="307"/>
      <c r="AZ417" s="307"/>
      <c r="BA417" s="307"/>
      <c r="BB417" s="307"/>
      <c r="BC417" s="307"/>
      <c r="BD417" s="307"/>
      <c r="BE417" s="307"/>
      <c r="BF417" s="307"/>
      <c r="BG417" s="307"/>
      <c r="BH417" s="307"/>
      <c r="BI417" s="307"/>
      <c r="BJ417" s="307"/>
      <c r="BK417" s="307"/>
      <c r="BL417" s="307"/>
      <c r="BM417" s="307"/>
      <c r="BN417" s="307"/>
      <c r="BO417" s="307"/>
      <c r="BP417" s="307"/>
      <c r="BQ417" s="307"/>
      <c r="BR417" s="307"/>
      <c r="BS417" s="307"/>
      <c r="BT417" s="307"/>
      <c r="BU417" s="307"/>
      <c r="BV417" s="307"/>
      <c r="BW417" s="307"/>
      <c r="BX417" s="307"/>
      <c r="BY417" s="307"/>
      <c r="BZ417" s="307"/>
      <c r="CA417" s="307"/>
      <c r="CB417" s="307"/>
      <c r="CC417" s="307"/>
      <c r="CD417" s="307"/>
      <c r="CE417" s="307"/>
      <c r="CF417" s="307"/>
      <c r="CG417" s="307"/>
      <c r="CH417" s="307"/>
      <c r="CI417" s="307"/>
      <c r="CJ417" s="307"/>
      <c r="CK417" s="307"/>
      <c r="CL417" s="307"/>
      <c r="CM417" s="307"/>
      <c r="CN417" s="307"/>
      <c r="CO417" s="307"/>
      <c r="CP417" s="307"/>
      <c r="CQ417" s="307"/>
      <c r="CR417" s="307"/>
      <c r="CS417" s="307"/>
      <c r="CT417" s="307"/>
      <c r="CU417" s="307"/>
      <c r="CV417" s="307"/>
      <c r="CW417" s="307"/>
      <c r="CX417" s="307"/>
      <c r="CY417" s="307"/>
      <c r="CZ417" s="307"/>
      <c r="DA417" s="307"/>
      <c r="DB417" s="280"/>
      <c r="DC417" s="280"/>
      <c r="DD417" s="280"/>
      <c r="DE417" s="280"/>
      <c r="DF417" s="280"/>
      <c r="DG417" s="280"/>
      <c r="DH417" s="280"/>
      <c r="DI417" s="280"/>
      <c r="DJ417" s="280"/>
      <c r="DK417" s="280"/>
      <c r="DL417" s="280"/>
      <c r="DM417" s="280"/>
      <c r="DN417" s="280"/>
      <c r="DO417" s="280"/>
      <c r="DP417" s="280"/>
      <c r="DQ417" s="280"/>
      <c r="DR417" s="280"/>
      <c r="DS417" s="280"/>
      <c r="DT417" s="280"/>
      <c r="DU417" s="280"/>
      <c r="DV417" s="280"/>
      <c r="DW417" s="280"/>
      <c r="DX417" s="280"/>
      <c r="DY417" s="280"/>
      <c r="DZ417" s="280"/>
      <c r="EA417" s="280"/>
      <c r="EB417" s="280"/>
      <c r="EC417" s="280"/>
      <c r="ED417" s="280"/>
      <c r="EE417" s="280"/>
      <c r="EF417" s="280"/>
      <c r="EG417" s="280"/>
      <c r="EH417" s="280"/>
      <c r="EI417" s="280"/>
      <c r="EJ417" s="280"/>
      <c r="EK417" s="280"/>
      <c r="EL417" s="280"/>
      <c r="EM417" s="280"/>
      <c r="EN417" s="280"/>
      <c r="EO417" s="280"/>
      <c r="EP417" s="521"/>
      <c r="EQ417" s="521"/>
      <c r="ER417" s="521"/>
      <c r="ES417" s="521"/>
      <c r="ET417" s="521"/>
      <c r="EU417" s="521"/>
      <c r="EV417" s="521"/>
      <c r="EW417" s="521"/>
      <c r="EX417" s="521"/>
      <c r="EY417" s="521"/>
      <c r="EZ417" s="521"/>
      <c r="FA417" s="521"/>
      <c r="FB417" s="521"/>
      <c r="FC417" s="521"/>
      <c r="FD417" s="521"/>
      <c r="FE417" s="521"/>
      <c r="FF417" s="521"/>
      <c r="FG417" s="521"/>
      <c r="FH417" s="567"/>
      <c r="FI417" s="567"/>
      <c r="FJ417" s="567"/>
      <c r="FK417" s="567"/>
      <c r="FL417" s="567"/>
      <c r="FM417" s="567"/>
      <c r="FN417" s="567"/>
      <c r="FO417" s="567"/>
    </row>
    <row r="418" spans="1:171" s="568" customFormat="1" ht="13.9" customHeight="1">
      <c r="A418" s="566"/>
      <c r="B418" s="566"/>
      <c r="C418" s="566"/>
      <c r="D418" s="569"/>
      <c r="E418" s="570"/>
      <c r="F418" s="571"/>
      <c r="G418" s="571"/>
      <c r="H418" s="571"/>
      <c r="I418" s="571"/>
      <c r="J418" s="571"/>
      <c r="K418" s="572"/>
      <c r="L418" s="569"/>
      <c r="M418" s="569"/>
      <c r="N418" s="569"/>
      <c r="O418" s="569"/>
      <c r="P418" s="566"/>
      <c r="Q418" s="566"/>
      <c r="R418" s="566"/>
      <c r="S418" s="566"/>
      <c r="T418" s="566"/>
      <c r="U418" s="566"/>
      <c r="V418" s="566"/>
      <c r="W418" s="566"/>
      <c r="X418" s="553"/>
      <c r="Y418" s="553"/>
      <c r="Z418" s="553"/>
      <c r="AA418" s="554"/>
      <c r="AB418" s="550"/>
      <c r="AC418" s="550"/>
      <c r="AD418" s="550"/>
      <c r="AE418" s="307"/>
      <c r="AF418" s="307"/>
      <c r="AG418" s="307"/>
      <c r="AH418" s="307"/>
      <c r="AI418" s="307"/>
      <c r="AJ418" s="307"/>
      <c r="AK418" s="307"/>
      <c r="AL418" s="307"/>
      <c r="AM418" s="307"/>
      <c r="AN418" s="307"/>
      <c r="AO418" s="307"/>
      <c r="AP418" s="307"/>
      <c r="AQ418" s="307"/>
      <c r="AR418" s="307"/>
      <c r="AS418" s="307"/>
      <c r="AT418" s="307"/>
      <c r="AU418" s="307"/>
      <c r="AV418" s="307"/>
      <c r="AW418" s="307"/>
      <c r="AX418" s="307"/>
      <c r="AY418" s="307"/>
      <c r="AZ418" s="307"/>
      <c r="BA418" s="307"/>
      <c r="BB418" s="307"/>
      <c r="BC418" s="307"/>
      <c r="BD418" s="307"/>
      <c r="BE418" s="307"/>
      <c r="BF418" s="307"/>
      <c r="BG418" s="307"/>
      <c r="BH418" s="307"/>
      <c r="BI418" s="307"/>
      <c r="BJ418" s="307"/>
      <c r="BK418" s="307"/>
      <c r="BL418" s="307"/>
      <c r="BM418" s="307"/>
      <c r="BN418" s="307"/>
      <c r="BO418" s="307"/>
      <c r="BP418" s="307"/>
      <c r="BQ418" s="307"/>
      <c r="BR418" s="307"/>
      <c r="BS418" s="307"/>
      <c r="BT418" s="307"/>
      <c r="BU418" s="307"/>
      <c r="BV418" s="307"/>
      <c r="BW418" s="307"/>
      <c r="BX418" s="307"/>
      <c r="BY418" s="307"/>
      <c r="BZ418" s="307"/>
      <c r="CA418" s="307"/>
      <c r="CB418" s="307"/>
      <c r="CC418" s="307"/>
      <c r="CD418" s="307"/>
      <c r="CE418" s="307"/>
      <c r="CF418" s="307"/>
      <c r="CG418" s="307"/>
      <c r="CH418" s="307"/>
      <c r="CI418" s="307"/>
      <c r="CJ418" s="307"/>
      <c r="CK418" s="307"/>
      <c r="CL418" s="307"/>
      <c r="CM418" s="307"/>
      <c r="CN418" s="307"/>
      <c r="CO418" s="307"/>
      <c r="CP418" s="307"/>
      <c r="CQ418" s="307"/>
      <c r="CR418" s="307"/>
      <c r="CS418" s="307"/>
      <c r="CT418" s="307"/>
      <c r="CU418" s="307"/>
      <c r="CV418" s="307"/>
      <c r="CW418" s="307"/>
      <c r="CX418" s="307"/>
      <c r="CY418" s="307"/>
      <c r="CZ418" s="307"/>
      <c r="DA418" s="307"/>
      <c r="DB418" s="280"/>
      <c r="DC418" s="280"/>
      <c r="DD418" s="280"/>
      <c r="DE418" s="280"/>
      <c r="DF418" s="280"/>
      <c r="DG418" s="280"/>
      <c r="DH418" s="280"/>
      <c r="DI418" s="280"/>
      <c r="DJ418" s="280"/>
      <c r="DK418" s="280"/>
      <c r="DL418" s="280"/>
      <c r="DM418" s="280"/>
      <c r="DN418" s="280"/>
      <c r="DO418" s="280"/>
      <c r="DP418" s="280"/>
      <c r="DQ418" s="280"/>
      <c r="DR418" s="280"/>
      <c r="DS418" s="280"/>
      <c r="DT418" s="280"/>
      <c r="DU418" s="280"/>
      <c r="DV418" s="280"/>
      <c r="DW418" s="280"/>
      <c r="DX418" s="280"/>
      <c r="DY418" s="280"/>
      <c r="DZ418" s="280"/>
      <c r="EA418" s="280"/>
      <c r="EB418" s="280"/>
      <c r="EC418" s="280"/>
      <c r="ED418" s="280"/>
      <c r="EE418" s="280"/>
      <c r="EF418" s="280"/>
      <c r="EG418" s="280"/>
      <c r="EH418" s="280"/>
      <c r="EI418" s="280"/>
      <c r="EJ418" s="280"/>
      <c r="EK418" s="280"/>
      <c r="EL418" s="280"/>
      <c r="EM418" s="280"/>
      <c r="EN418" s="280"/>
      <c r="EO418" s="280"/>
      <c r="EP418" s="521"/>
      <c r="EQ418" s="521"/>
      <c r="ER418" s="521"/>
      <c r="ES418" s="521"/>
      <c r="ET418" s="521"/>
      <c r="EU418" s="521"/>
      <c r="EV418" s="521"/>
      <c r="EW418" s="521"/>
      <c r="EX418" s="521"/>
      <c r="EY418" s="521"/>
      <c r="EZ418" s="521"/>
      <c r="FA418" s="521"/>
      <c r="FB418" s="521"/>
      <c r="FC418" s="521"/>
      <c r="FD418" s="521"/>
      <c r="FE418" s="521"/>
      <c r="FF418" s="521"/>
      <c r="FG418" s="521"/>
      <c r="FH418" s="567"/>
      <c r="FI418" s="567"/>
      <c r="FJ418" s="567"/>
      <c r="FK418" s="567"/>
      <c r="FL418" s="567"/>
      <c r="FM418" s="567"/>
      <c r="FN418" s="567"/>
      <c r="FO418" s="567"/>
    </row>
    <row r="419" spans="1:171" s="568" customFormat="1" ht="13.9" customHeight="1">
      <c r="A419" s="566"/>
      <c r="B419" s="566"/>
      <c r="C419" s="566"/>
      <c r="D419" s="569"/>
      <c r="E419" s="570"/>
      <c r="F419" s="571"/>
      <c r="G419" s="571"/>
      <c r="H419" s="571"/>
      <c r="I419" s="571"/>
      <c r="J419" s="571"/>
      <c r="K419" s="572"/>
      <c r="L419" s="569"/>
      <c r="M419" s="569"/>
      <c r="N419" s="569"/>
      <c r="O419" s="569"/>
      <c r="P419" s="566"/>
      <c r="Q419" s="566"/>
      <c r="R419" s="566"/>
      <c r="S419" s="566"/>
      <c r="T419" s="566"/>
      <c r="U419" s="566"/>
      <c r="V419" s="566"/>
      <c r="W419" s="566"/>
      <c r="X419" s="553"/>
      <c r="Y419" s="553"/>
      <c r="Z419" s="553"/>
      <c r="AA419" s="554"/>
      <c r="AB419" s="550"/>
      <c r="AC419" s="550"/>
      <c r="AD419" s="550"/>
      <c r="AE419" s="307"/>
      <c r="AF419" s="307"/>
      <c r="AG419" s="307"/>
      <c r="AH419" s="307"/>
      <c r="AI419" s="307"/>
      <c r="AJ419" s="307"/>
      <c r="AK419" s="307"/>
      <c r="AL419" s="307"/>
      <c r="AM419" s="307"/>
      <c r="AN419" s="307"/>
      <c r="AO419" s="307"/>
      <c r="AP419" s="307"/>
      <c r="AQ419" s="307"/>
      <c r="AR419" s="307"/>
      <c r="AS419" s="307"/>
      <c r="AT419" s="307"/>
      <c r="AU419" s="307"/>
      <c r="AV419" s="307"/>
      <c r="AW419" s="307"/>
      <c r="AX419" s="307"/>
      <c r="AY419" s="307"/>
      <c r="AZ419" s="307"/>
      <c r="BA419" s="307"/>
      <c r="BB419" s="307"/>
      <c r="BC419" s="307"/>
      <c r="BD419" s="307"/>
      <c r="BE419" s="307"/>
      <c r="BF419" s="307"/>
      <c r="BG419" s="307"/>
      <c r="BH419" s="307"/>
      <c r="BI419" s="307"/>
      <c r="BJ419" s="307"/>
      <c r="BK419" s="307"/>
      <c r="BL419" s="307"/>
      <c r="BM419" s="307"/>
      <c r="BN419" s="307"/>
      <c r="BO419" s="307"/>
      <c r="BP419" s="307"/>
      <c r="BQ419" s="307"/>
      <c r="BR419" s="307"/>
      <c r="BS419" s="307"/>
      <c r="BT419" s="307"/>
      <c r="BU419" s="307"/>
      <c r="BV419" s="307"/>
      <c r="BW419" s="307"/>
      <c r="BX419" s="307"/>
      <c r="BY419" s="307"/>
      <c r="BZ419" s="307"/>
      <c r="CA419" s="307"/>
      <c r="CB419" s="307"/>
      <c r="CC419" s="307"/>
      <c r="CD419" s="307"/>
      <c r="CE419" s="307"/>
      <c r="CF419" s="307"/>
      <c r="CG419" s="307"/>
      <c r="CH419" s="307"/>
      <c r="CI419" s="307"/>
      <c r="CJ419" s="307"/>
      <c r="CK419" s="307"/>
      <c r="CL419" s="307"/>
      <c r="CM419" s="307"/>
      <c r="CN419" s="307"/>
      <c r="CO419" s="307"/>
      <c r="CP419" s="307"/>
      <c r="CQ419" s="307"/>
      <c r="CR419" s="307"/>
      <c r="CS419" s="307"/>
      <c r="CT419" s="307"/>
      <c r="CU419" s="307"/>
      <c r="CV419" s="307"/>
      <c r="CW419" s="307"/>
      <c r="CX419" s="307"/>
      <c r="CY419" s="307"/>
      <c r="CZ419" s="307"/>
      <c r="DA419" s="307"/>
      <c r="DB419" s="280"/>
      <c r="DC419" s="280"/>
      <c r="DD419" s="280"/>
      <c r="DE419" s="280"/>
      <c r="DF419" s="280"/>
      <c r="DG419" s="280"/>
      <c r="DH419" s="280"/>
      <c r="DI419" s="280"/>
      <c r="DJ419" s="280"/>
      <c r="DK419" s="280"/>
      <c r="DL419" s="280"/>
      <c r="DM419" s="280"/>
      <c r="DN419" s="280"/>
      <c r="DO419" s="280"/>
      <c r="DP419" s="280"/>
      <c r="DQ419" s="280"/>
      <c r="DR419" s="280"/>
      <c r="DS419" s="280"/>
      <c r="DT419" s="280"/>
      <c r="DU419" s="280"/>
      <c r="DV419" s="280"/>
      <c r="DW419" s="280"/>
      <c r="DX419" s="280"/>
      <c r="DY419" s="280"/>
      <c r="DZ419" s="280"/>
      <c r="EA419" s="280"/>
      <c r="EB419" s="280"/>
      <c r="EC419" s="280"/>
      <c r="ED419" s="280"/>
      <c r="EE419" s="280"/>
      <c r="EF419" s="280"/>
      <c r="EG419" s="280"/>
      <c r="EH419" s="280"/>
      <c r="EI419" s="280"/>
      <c r="EJ419" s="280"/>
      <c r="EK419" s="280"/>
      <c r="EL419" s="280"/>
      <c r="EM419" s="280"/>
      <c r="EN419" s="280"/>
      <c r="EO419" s="280"/>
      <c r="EP419" s="521"/>
      <c r="EQ419" s="521"/>
      <c r="ER419" s="521"/>
      <c r="ES419" s="521"/>
      <c r="ET419" s="521"/>
      <c r="EU419" s="521"/>
      <c r="EV419" s="521"/>
      <c r="EW419" s="521"/>
      <c r="EX419" s="521"/>
      <c r="EY419" s="521"/>
      <c r="EZ419" s="521"/>
      <c r="FA419" s="521"/>
      <c r="FB419" s="521"/>
      <c r="FC419" s="521"/>
      <c r="FD419" s="521"/>
      <c r="FE419" s="521"/>
      <c r="FF419" s="521"/>
      <c r="FG419" s="521"/>
      <c r="FH419" s="567"/>
      <c r="FI419" s="567"/>
      <c r="FJ419" s="567"/>
      <c r="FK419" s="567"/>
      <c r="FL419" s="567"/>
      <c r="FM419" s="567"/>
      <c r="FN419" s="567"/>
      <c r="FO419" s="567"/>
    </row>
    <row r="420" spans="1:171" s="568" customFormat="1" ht="13.9" customHeight="1">
      <c r="A420" s="566"/>
      <c r="B420" s="566"/>
      <c r="C420" s="566"/>
      <c r="D420" s="569"/>
      <c r="E420" s="570"/>
      <c r="F420" s="571"/>
      <c r="G420" s="571"/>
      <c r="H420" s="571"/>
      <c r="I420" s="571"/>
      <c r="J420" s="571"/>
      <c r="K420" s="572"/>
      <c r="L420" s="569"/>
      <c r="M420" s="569"/>
      <c r="N420" s="569"/>
      <c r="O420" s="569"/>
      <c r="P420" s="566"/>
      <c r="Q420" s="566"/>
      <c r="R420" s="566"/>
      <c r="S420" s="566"/>
      <c r="T420" s="566"/>
      <c r="U420" s="566"/>
      <c r="V420" s="566"/>
      <c r="W420" s="566"/>
      <c r="X420" s="553"/>
      <c r="Y420" s="553"/>
      <c r="Z420" s="553"/>
      <c r="AA420" s="554"/>
      <c r="AB420" s="550"/>
      <c r="AC420" s="550"/>
      <c r="AD420" s="550"/>
      <c r="AE420" s="307"/>
      <c r="AF420" s="307"/>
      <c r="AG420" s="307"/>
      <c r="AH420" s="307"/>
      <c r="AI420" s="307"/>
      <c r="AJ420" s="307"/>
      <c r="AK420" s="307"/>
      <c r="AL420" s="307"/>
      <c r="AM420" s="307"/>
      <c r="AN420" s="307"/>
      <c r="AO420" s="307"/>
      <c r="AP420" s="307"/>
      <c r="AQ420" s="307"/>
      <c r="AR420" s="307"/>
      <c r="AS420" s="307"/>
      <c r="AT420" s="307"/>
      <c r="AU420" s="307"/>
      <c r="AV420" s="307"/>
      <c r="AW420" s="307"/>
      <c r="AX420" s="307"/>
      <c r="AY420" s="307"/>
      <c r="AZ420" s="307"/>
      <c r="BA420" s="307"/>
      <c r="BB420" s="307"/>
      <c r="BC420" s="307"/>
      <c r="BD420" s="307"/>
      <c r="BE420" s="307"/>
      <c r="BF420" s="307"/>
      <c r="BG420" s="307"/>
      <c r="BH420" s="307"/>
      <c r="BI420" s="307"/>
      <c r="BJ420" s="307"/>
      <c r="BK420" s="307"/>
      <c r="BL420" s="307"/>
      <c r="BM420" s="307"/>
      <c r="BN420" s="307"/>
      <c r="BO420" s="307"/>
      <c r="BP420" s="307"/>
      <c r="BQ420" s="307"/>
      <c r="BR420" s="307"/>
      <c r="BS420" s="307"/>
      <c r="BT420" s="307"/>
      <c r="BU420" s="307"/>
      <c r="BV420" s="307"/>
      <c r="BW420" s="307"/>
      <c r="BX420" s="307"/>
      <c r="BY420" s="307"/>
      <c r="BZ420" s="307"/>
      <c r="CA420" s="307"/>
      <c r="CB420" s="307"/>
      <c r="CC420" s="307"/>
      <c r="CD420" s="307"/>
      <c r="CE420" s="307"/>
      <c r="CF420" s="307"/>
      <c r="CG420" s="307"/>
      <c r="CH420" s="307"/>
      <c r="CI420" s="307"/>
      <c r="CJ420" s="307"/>
      <c r="CK420" s="307"/>
      <c r="CL420" s="307"/>
      <c r="CM420" s="307"/>
      <c r="CN420" s="307"/>
      <c r="CO420" s="307"/>
      <c r="CP420" s="307"/>
      <c r="CQ420" s="307"/>
      <c r="CR420" s="307"/>
      <c r="CS420" s="307"/>
      <c r="CT420" s="307"/>
      <c r="CU420" s="307"/>
      <c r="CV420" s="307"/>
      <c r="CW420" s="307"/>
      <c r="CX420" s="307"/>
      <c r="CY420" s="307"/>
      <c r="CZ420" s="307"/>
      <c r="DA420" s="307"/>
      <c r="DB420" s="280"/>
      <c r="DC420" s="280"/>
      <c r="DD420" s="280"/>
      <c r="DE420" s="280"/>
      <c r="DF420" s="280"/>
      <c r="DG420" s="280"/>
      <c r="DH420" s="280"/>
      <c r="DI420" s="280"/>
      <c r="DJ420" s="280"/>
      <c r="DK420" s="280"/>
      <c r="DL420" s="280"/>
      <c r="DM420" s="280"/>
      <c r="DN420" s="280"/>
      <c r="DO420" s="280"/>
      <c r="DP420" s="280"/>
      <c r="DQ420" s="280"/>
      <c r="DR420" s="280"/>
      <c r="DS420" s="280"/>
      <c r="DT420" s="280"/>
      <c r="DU420" s="280"/>
      <c r="DV420" s="280"/>
      <c r="DW420" s="280"/>
      <c r="DX420" s="280"/>
      <c r="DY420" s="280"/>
      <c r="DZ420" s="280"/>
      <c r="EA420" s="280"/>
      <c r="EB420" s="280"/>
      <c r="EC420" s="280"/>
      <c r="ED420" s="280"/>
      <c r="EE420" s="280"/>
      <c r="EF420" s="280"/>
      <c r="EG420" s="280"/>
      <c r="EH420" s="280"/>
      <c r="EI420" s="280"/>
      <c r="EJ420" s="280"/>
      <c r="EK420" s="280"/>
      <c r="EL420" s="280"/>
      <c r="EM420" s="280"/>
      <c r="EN420" s="280"/>
      <c r="EO420" s="280"/>
      <c r="EP420" s="521"/>
      <c r="EQ420" s="521"/>
      <c r="ER420" s="521"/>
      <c r="ES420" s="521"/>
      <c r="ET420" s="521"/>
      <c r="EU420" s="521"/>
      <c r="EV420" s="521"/>
      <c r="EW420" s="521"/>
      <c r="EX420" s="521"/>
      <c r="EY420" s="521"/>
      <c r="EZ420" s="521"/>
      <c r="FA420" s="521"/>
      <c r="FB420" s="521"/>
      <c r="FC420" s="521"/>
      <c r="FD420" s="521"/>
      <c r="FE420" s="521"/>
      <c r="FF420" s="521"/>
      <c r="FG420" s="521"/>
      <c r="FH420" s="567"/>
      <c r="FI420" s="567"/>
      <c r="FJ420" s="567"/>
      <c r="FK420" s="567"/>
      <c r="FL420" s="567"/>
      <c r="FM420" s="567"/>
      <c r="FN420" s="567"/>
      <c r="FO420" s="567"/>
    </row>
    <row r="421" spans="1:171" s="568" customFormat="1" ht="13.9" customHeight="1">
      <c r="A421" s="566"/>
      <c r="B421" s="566"/>
      <c r="C421" s="566"/>
      <c r="D421" s="569"/>
      <c r="E421" s="570"/>
      <c r="F421" s="571"/>
      <c r="G421" s="571"/>
      <c r="H421" s="571"/>
      <c r="I421" s="571"/>
      <c r="J421" s="571"/>
      <c r="K421" s="572"/>
      <c r="L421" s="569"/>
      <c r="M421" s="569"/>
      <c r="N421" s="569"/>
      <c r="O421" s="569"/>
      <c r="P421" s="566"/>
      <c r="Q421" s="566"/>
      <c r="R421" s="566"/>
      <c r="S421" s="566"/>
      <c r="T421" s="566"/>
      <c r="U421" s="566"/>
      <c r="V421" s="566"/>
      <c r="W421" s="566"/>
      <c r="X421" s="553"/>
      <c r="Y421" s="553"/>
      <c r="Z421" s="553"/>
      <c r="AA421" s="554"/>
      <c r="AB421" s="550"/>
      <c r="AC421" s="550"/>
      <c r="AD421" s="550"/>
      <c r="AE421" s="307"/>
      <c r="AF421" s="307"/>
      <c r="AG421" s="307"/>
      <c r="AH421" s="307"/>
      <c r="AI421" s="307"/>
      <c r="AJ421" s="307"/>
      <c r="AK421" s="307"/>
      <c r="AL421" s="307"/>
      <c r="AM421" s="307"/>
      <c r="AN421" s="307"/>
      <c r="AO421" s="307"/>
      <c r="AP421" s="307"/>
      <c r="AQ421" s="307"/>
      <c r="AR421" s="307"/>
      <c r="AS421" s="307"/>
      <c r="AT421" s="307"/>
      <c r="AU421" s="307"/>
      <c r="AV421" s="307"/>
      <c r="AW421" s="307"/>
      <c r="AX421" s="307"/>
      <c r="AY421" s="307"/>
      <c r="AZ421" s="307"/>
      <c r="BA421" s="307"/>
      <c r="BB421" s="307"/>
      <c r="BC421" s="307"/>
      <c r="BD421" s="307"/>
      <c r="BE421" s="307"/>
      <c r="BF421" s="307"/>
      <c r="BG421" s="307"/>
      <c r="BH421" s="307"/>
      <c r="BI421" s="307"/>
      <c r="BJ421" s="307"/>
      <c r="BK421" s="307"/>
      <c r="BL421" s="307"/>
      <c r="BM421" s="307"/>
      <c r="BN421" s="307"/>
      <c r="BO421" s="307"/>
      <c r="BP421" s="307"/>
      <c r="BQ421" s="307"/>
      <c r="BR421" s="307"/>
      <c r="BS421" s="307"/>
      <c r="BT421" s="307"/>
      <c r="BU421" s="307"/>
      <c r="BV421" s="307"/>
      <c r="BW421" s="307"/>
      <c r="BX421" s="307"/>
      <c r="BY421" s="307"/>
      <c r="BZ421" s="307"/>
      <c r="CA421" s="307"/>
      <c r="CB421" s="307"/>
      <c r="CC421" s="307"/>
      <c r="CD421" s="307"/>
      <c r="CE421" s="307"/>
      <c r="CF421" s="307"/>
      <c r="CG421" s="307"/>
      <c r="CH421" s="307"/>
      <c r="CI421" s="307"/>
      <c r="CJ421" s="307"/>
      <c r="CK421" s="307"/>
      <c r="CL421" s="307"/>
      <c r="CM421" s="307"/>
      <c r="CN421" s="307"/>
      <c r="CO421" s="307"/>
      <c r="CP421" s="307"/>
      <c r="CQ421" s="307"/>
      <c r="CR421" s="307"/>
      <c r="CS421" s="307"/>
      <c r="CT421" s="307"/>
      <c r="CU421" s="307"/>
      <c r="CV421" s="307"/>
      <c r="CW421" s="307"/>
      <c r="CX421" s="307"/>
      <c r="CY421" s="307"/>
      <c r="CZ421" s="307"/>
      <c r="DA421" s="307"/>
      <c r="DB421" s="280"/>
      <c r="DC421" s="280"/>
      <c r="DD421" s="280"/>
      <c r="DE421" s="280"/>
      <c r="DF421" s="280"/>
      <c r="DG421" s="280"/>
      <c r="DH421" s="280"/>
      <c r="DI421" s="280"/>
      <c r="DJ421" s="280"/>
      <c r="DK421" s="280"/>
      <c r="DL421" s="280"/>
      <c r="DM421" s="280"/>
      <c r="DN421" s="280"/>
      <c r="DO421" s="280"/>
      <c r="DP421" s="280"/>
      <c r="DQ421" s="280"/>
      <c r="DR421" s="280"/>
      <c r="DS421" s="280"/>
      <c r="DT421" s="280"/>
      <c r="DU421" s="280"/>
      <c r="DV421" s="280"/>
      <c r="DW421" s="280"/>
      <c r="DX421" s="280"/>
      <c r="DY421" s="280"/>
      <c r="DZ421" s="280"/>
      <c r="EA421" s="280"/>
      <c r="EB421" s="280"/>
      <c r="EC421" s="280"/>
      <c r="ED421" s="280"/>
      <c r="EE421" s="280"/>
      <c r="EF421" s="280"/>
      <c r="EG421" s="280"/>
      <c r="EH421" s="280"/>
      <c r="EI421" s="280"/>
      <c r="EJ421" s="280"/>
      <c r="EK421" s="280"/>
      <c r="EL421" s="280"/>
      <c r="EM421" s="280"/>
      <c r="EN421" s="280"/>
      <c r="EO421" s="280"/>
      <c r="EP421" s="521"/>
      <c r="EQ421" s="521"/>
      <c r="ER421" s="521"/>
      <c r="ES421" s="521"/>
      <c r="ET421" s="521"/>
      <c r="EU421" s="521"/>
      <c r="EV421" s="521"/>
      <c r="EW421" s="521"/>
      <c r="EX421" s="521"/>
      <c r="EY421" s="521"/>
      <c r="EZ421" s="521"/>
      <c r="FA421" s="521"/>
      <c r="FB421" s="521"/>
      <c r="FC421" s="521"/>
      <c r="FD421" s="521"/>
      <c r="FE421" s="521"/>
      <c r="FF421" s="521"/>
      <c r="FG421" s="521"/>
      <c r="FH421" s="567"/>
      <c r="FI421" s="567"/>
      <c r="FJ421" s="567"/>
      <c r="FK421" s="567"/>
      <c r="FL421" s="567"/>
      <c r="FM421" s="567"/>
      <c r="FN421" s="567"/>
      <c r="FO421" s="567"/>
    </row>
    <row r="422" spans="1:171" s="568" customFormat="1" ht="13.9" customHeight="1">
      <c r="A422" s="566"/>
      <c r="B422" s="566"/>
      <c r="C422" s="566"/>
      <c r="D422" s="569"/>
      <c r="E422" s="570"/>
      <c r="F422" s="571"/>
      <c r="G422" s="571"/>
      <c r="H422" s="571"/>
      <c r="I422" s="571"/>
      <c r="J422" s="571"/>
      <c r="K422" s="572"/>
      <c r="L422" s="569"/>
      <c r="M422" s="569"/>
      <c r="N422" s="569"/>
      <c r="O422" s="569"/>
      <c r="P422" s="566"/>
      <c r="Q422" s="566"/>
      <c r="R422" s="566"/>
      <c r="S422" s="566"/>
      <c r="T422" s="566"/>
      <c r="U422" s="566"/>
      <c r="V422" s="566"/>
      <c r="W422" s="566"/>
      <c r="X422" s="553"/>
      <c r="Y422" s="553"/>
      <c r="Z422" s="553"/>
      <c r="AA422" s="554"/>
      <c r="AB422" s="550"/>
      <c r="AC422" s="550"/>
      <c r="AD422" s="550"/>
      <c r="AE422" s="307"/>
      <c r="AF422" s="307"/>
      <c r="AG422" s="307"/>
      <c r="AH422" s="307"/>
      <c r="AI422" s="307"/>
      <c r="AJ422" s="307"/>
      <c r="AK422" s="307"/>
      <c r="AL422" s="307"/>
      <c r="AM422" s="307"/>
      <c r="AN422" s="307"/>
      <c r="AO422" s="307"/>
      <c r="AP422" s="307"/>
      <c r="AQ422" s="307"/>
      <c r="AR422" s="307"/>
      <c r="AS422" s="307"/>
      <c r="AT422" s="307"/>
      <c r="AU422" s="307"/>
      <c r="AV422" s="307"/>
      <c r="AW422" s="307"/>
      <c r="AX422" s="307"/>
      <c r="AY422" s="307"/>
      <c r="AZ422" s="307"/>
      <c r="BA422" s="307"/>
      <c r="BB422" s="307"/>
      <c r="BC422" s="307"/>
      <c r="BD422" s="307"/>
      <c r="BE422" s="307"/>
      <c r="BF422" s="307"/>
      <c r="BG422" s="307"/>
      <c r="BH422" s="307"/>
      <c r="BI422" s="307"/>
      <c r="BJ422" s="307"/>
      <c r="BK422" s="307"/>
      <c r="BL422" s="307"/>
      <c r="BM422" s="307"/>
      <c r="BN422" s="307"/>
      <c r="BO422" s="307"/>
      <c r="BP422" s="307"/>
      <c r="BQ422" s="307"/>
      <c r="BR422" s="307"/>
      <c r="BS422" s="307"/>
      <c r="BT422" s="307"/>
      <c r="BU422" s="307"/>
      <c r="BV422" s="307"/>
      <c r="BW422" s="307"/>
      <c r="BX422" s="307"/>
      <c r="BY422" s="307"/>
      <c r="BZ422" s="307"/>
      <c r="CA422" s="307"/>
      <c r="CB422" s="307"/>
      <c r="CC422" s="307"/>
      <c r="CD422" s="307"/>
      <c r="CE422" s="307"/>
      <c r="CF422" s="307"/>
      <c r="CG422" s="307"/>
      <c r="CH422" s="307"/>
      <c r="CI422" s="307"/>
      <c r="CJ422" s="307"/>
      <c r="CK422" s="307"/>
      <c r="CL422" s="307"/>
      <c r="CM422" s="307"/>
      <c r="CN422" s="307"/>
      <c r="CO422" s="307"/>
      <c r="CP422" s="307"/>
      <c r="CQ422" s="307"/>
      <c r="CR422" s="307"/>
      <c r="CS422" s="307"/>
      <c r="CT422" s="307"/>
      <c r="CU422" s="307"/>
      <c r="CV422" s="307"/>
      <c r="CW422" s="307"/>
      <c r="CX422" s="307"/>
      <c r="CY422" s="307"/>
      <c r="CZ422" s="307"/>
      <c r="DA422" s="307"/>
      <c r="DB422" s="280"/>
      <c r="DC422" s="280"/>
      <c r="DD422" s="280"/>
      <c r="DE422" s="280"/>
      <c r="DF422" s="280"/>
      <c r="DG422" s="280"/>
      <c r="DH422" s="280"/>
      <c r="DI422" s="280"/>
      <c r="DJ422" s="280"/>
      <c r="DK422" s="280"/>
      <c r="DL422" s="280"/>
      <c r="DM422" s="280"/>
      <c r="DN422" s="280"/>
      <c r="DO422" s="280"/>
      <c r="DP422" s="280"/>
      <c r="DQ422" s="280"/>
      <c r="DR422" s="280"/>
      <c r="DS422" s="280"/>
      <c r="DT422" s="280"/>
      <c r="DU422" s="280"/>
      <c r="DV422" s="280"/>
      <c r="DW422" s="280"/>
      <c r="DX422" s="280"/>
      <c r="DY422" s="280"/>
      <c r="DZ422" s="280"/>
      <c r="EA422" s="280"/>
      <c r="EB422" s="280"/>
      <c r="EC422" s="280"/>
      <c r="ED422" s="280"/>
      <c r="EE422" s="280"/>
      <c r="EF422" s="280"/>
      <c r="EG422" s="280"/>
      <c r="EH422" s="280"/>
      <c r="EI422" s="280"/>
      <c r="EJ422" s="280"/>
      <c r="EK422" s="280"/>
      <c r="EL422" s="280"/>
      <c r="EM422" s="280"/>
      <c r="EN422" s="280"/>
      <c r="EO422" s="280"/>
      <c r="EP422" s="521"/>
      <c r="EQ422" s="521"/>
      <c r="ER422" s="521"/>
      <c r="ES422" s="521"/>
      <c r="ET422" s="521"/>
      <c r="EU422" s="521"/>
      <c r="EV422" s="521"/>
      <c r="EW422" s="521"/>
      <c r="EX422" s="521"/>
      <c r="EY422" s="521"/>
      <c r="EZ422" s="521"/>
      <c r="FA422" s="521"/>
      <c r="FB422" s="521"/>
      <c r="FC422" s="521"/>
      <c r="FD422" s="521"/>
      <c r="FE422" s="521"/>
      <c r="FF422" s="521"/>
      <c r="FG422" s="521"/>
      <c r="FH422" s="567"/>
      <c r="FI422" s="567"/>
      <c r="FJ422" s="567"/>
      <c r="FK422" s="567"/>
      <c r="FL422" s="567"/>
      <c r="FM422" s="567"/>
      <c r="FN422" s="567"/>
      <c r="FO422" s="567"/>
    </row>
    <row r="423" spans="1:171" s="568" customFormat="1" ht="13.9" customHeight="1">
      <c r="A423" s="566"/>
      <c r="B423" s="566"/>
      <c r="C423" s="566"/>
      <c r="D423" s="569"/>
      <c r="E423" s="570"/>
      <c r="F423" s="571"/>
      <c r="G423" s="571"/>
      <c r="H423" s="571"/>
      <c r="I423" s="571"/>
      <c r="J423" s="571"/>
      <c r="K423" s="572"/>
      <c r="L423" s="569"/>
      <c r="M423" s="569"/>
      <c r="N423" s="569"/>
      <c r="O423" s="569"/>
      <c r="P423" s="566"/>
      <c r="Q423" s="566"/>
      <c r="R423" s="566"/>
      <c r="S423" s="566"/>
      <c r="T423" s="566"/>
      <c r="U423" s="566"/>
      <c r="V423" s="566"/>
      <c r="W423" s="566"/>
      <c r="X423" s="553"/>
      <c r="Y423" s="553"/>
      <c r="Z423" s="553"/>
      <c r="AA423" s="554"/>
      <c r="AB423" s="550"/>
      <c r="AC423" s="550"/>
      <c r="AD423" s="550"/>
      <c r="AE423" s="307"/>
      <c r="AF423" s="307"/>
      <c r="AG423" s="307"/>
      <c r="AH423" s="307"/>
      <c r="AI423" s="307"/>
      <c r="AJ423" s="307"/>
      <c r="AK423" s="307"/>
      <c r="AL423" s="307"/>
      <c r="AM423" s="307"/>
      <c r="AN423" s="307"/>
      <c r="AO423" s="307"/>
      <c r="AP423" s="307"/>
      <c r="AQ423" s="307"/>
      <c r="AR423" s="307"/>
      <c r="AS423" s="307"/>
      <c r="AT423" s="307"/>
      <c r="AU423" s="307"/>
      <c r="AV423" s="307"/>
      <c r="AW423" s="307"/>
      <c r="AX423" s="307"/>
      <c r="AY423" s="307"/>
      <c r="AZ423" s="307"/>
      <c r="BA423" s="307"/>
      <c r="BB423" s="307"/>
      <c r="BC423" s="307"/>
      <c r="BD423" s="307"/>
      <c r="BE423" s="307"/>
      <c r="BF423" s="307"/>
      <c r="BG423" s="307"/>
      <c r="BH423" s="307"/>
      <c r="BI423" s="307"/>
      <c r="BJ423" s="307"/>
      <c r="BK423" s="307"/>
      <c r="BL423" s="307"/>
      <c r="BM423" s="307"/>
      <c r="BN423" s="307"/>
      <c r="BO423" s="307"/>
      <c r="BP423" s="307"/>
      <c r="BQ423" s="307"/>
      <c r="BR423" s="307"/>
      <c r="BS423" s="307"/>
      <c r="BT423" s="307"/>
      <c r="BU423" s="307"/>
      <c r="BV423" s="307"/>
      <c r="BW423" s="307"/>
      <c r="BX423" s="307"/>
      <c r="BY423" s="307"/>
      <c r="BZ423" s="307"/>
      <c r="CA423" s="307"/>
      <c r="CB423" s="307"/>
      <c r="CC423" s="307"/>
      <c r="CD423" s="307"/>
      <c r="CE423" s="307"/>
      <c r="CF423" s="307"/>
      <c r="CG423" s="307"/>
      <c r="CH423" s="307"/>
      <c r="CI423" s="307"/>
      <c r="CJ423" s="307"/>
      <c r="CK423" s="307"/>
      <c r="CL423" s="307"/>
      <c r="CM423" s="307"/>
      <c r="CN423" s="307"/>
      <c r="CO423" s="307"/>
      <c r="CP423" s="307"/>
      <c r="CQ423" s="307"/>
      <c r="CR423" s="307"/>
      <c r="CS423" s="307"/>
      <c r="CT423" s="307"/>
      <c r="CU423" s="307"/>
      <c r="CV423" s="307"/>
      <c r="CW423" s="307"/>
      <c r="CX423" s="307"/>
      <c r="CY423" s="307"/>
      <c r="CZ423" s="307"/>
      <c r="DA423" s="307"/>
      <c r="DB423" s="280"/>
      <c r="DC423" s="280"/>
      <c r="DD423" s="280"/>
      <c r="DE423" s="280"/>
      <c r="DF423" s="280"/>
      <c r="DG423" s="280"/>
      <c r="DH423" s="280"/>
      <c r="DI423" s="280"/>
      <c r="DJ423" s="280"/>
      <c r="DK423" s="280"/>
      <c r="DL423" s="280"/>
      <c r="DM423" s="280"/>
      <c r="DN423" s="280"/>
      <c r="DO423" s="280"/>
      <c r="DP423" s="280"/>
      <c r="DQ423" s="280"/>
      <c r="DR423" s="280"/>
      <c r="DS423" s="280"/>
      <c r="DT423" s="280"/>
      <c r="DU423" s="280"/>
      <c r="DV423" s="280"/>
      <c r="DW423" s="280"/>
      <c r="DX423" s="280"/>
      <c r="DY423" s="280"/>
      <c r="DZ423" s="280"/>
      <c r="EA423" s="280"/>
      <c r="EB423" s="280"/>
      <c r="EC423" s="280"/>
      <c r="ED423" s="280"/>
      <c r="EE423" s="280"/>
      <c r="EF423" s="280"/>
      <c r="EG423" s="280"/>
      <c r="EH423" s="280"/>
      <c r="EI423" s="280"/>
      <c r="EJ423" s="280"/>
      <c r="EK423" s="280"/>
      <c r="EL423" s="280"/>
      <c r="EM423" s="280"/>
      <c r="EN423" s="280"/>
      <c r="EO423" s="280"/>
      <c r="EP423" s="521"/>
      <c r="EQ423" s="521"/>
      <c r="ER423" s="521"/>
      <c r="ES423" s="521"/>
      <c r="ET423" s="521"/>
      <c r="EU423" s="521"/>
      <c r="EV423" s="521"/>
      <c r="EW423" s="521"/>
      <c r="EX423" s="521"/>
      <c r="EY423" s="521"/>
      <c r="EZ423" s="521"/>
      <c r="FA423" s="521"/>
      <c r="FB423" s="521"/>
      <c r="FC423" s="521"/>
      <c r="FD423" s="521"/>
      <c r="FE423" s="521"/>
      <c r="FF423" s="521"/>
      <c r="FG423" s="521"/>
      <c r="FH423" s="567"/>
      <c r="FI423" s="567"/>
      <c r="FJ423" s="567"/>
      <c r="FK423" s="567"/>
      <c r="FL423" s="567"/>
      <c r="FM423" s="567"/>
      <c r="FN423" s="567"/>
      <c r="FO423" s="567"/>
    </row>
    <row r="424" spans="1:171" s="568" customFormat="1" ht="13.9" customHeight="1">
      <c r="A424" s="566"/>
      <c r="B424" s="566"/>
      <c r="C424" s="566"/>
      <c r="D424" s="569"/>
      <c r="E424" s="570"/>
      <c r="F424" s="571"/>
      <c r="G424" s="571"/>
      <c r="H424" s="571"/>
      <c r="I424" s="571"/>
      <c r="J424" s="571"/>
      <c r="K424" s="572"/>
      <c r="L424" s="569"/>
      <c r="M424" s="569"/>
      <c r="N424" s="569"/>
      <c r="O424" s="569"/>
      <c r="P424" s="566"/>
      <c r="Q424" s="566"/>
      <c r="R424" s="566"/>
      <c r="S424" s="566"/>
      <c r="T424" s="566"/>
      <c r="U424" s="566"/>
      <c r="V424" s="566"/>
      <c r="W424" s="566"/>
      <c r="X424" s="553"/>
      <c r="Y424" s="553"/>
      <c r="Z424" s="553"/>
      <c r="AA424" s="554"/>
      <c r="AB424" s="550"/>
      <c r="AC424" s="550"/>
      <c r="AD424" s="550"/>
      <c r="AE424" s="307"/>
      <c r="AF424" s="307"/>
      <c r="AG424" s="307"/>
      <c r="AH424" s="307"/>
      <c r="AI424" s="307"/>
      <c r="AJ424" s="307"/>
      <c r="AK424" s="307"/>
      <c r="AL424" s="307"/>
      <c r="AM424" s="307"/>
      <c r="AN424" s="307"/>
      <c r="AO424" s="307"/>
      <c r="AP424" s="307"/>
      <c r="AQ424" s="307"/>
      <c r="AR424" s="307"/>
      <c r="AS424" s="307"/>
      <c r="AT424" s="307"/>
      <c r="AU424" s="307"/>
      <c r="AV424" s="307"/>
      <c r="AW424" s="307"/>
      <c r="AX424" s="307"/>
      <c r="AY424" s="307"/>
      <c r="AZ424" s="307"/>
      <c r="BA424" s="307"/>
      <c r="BB424" s="307"/>
      <c r="BC424" s="307"/>
      <c r="BD424" s="307"/>
      <c r="BE424" s="307"/>
      <c r="BF424" s="307"/>
      <c r="BG424" s="307"/>
      <c r="BH424" s="307"/>
      <c r="BI424" s="307"/>
      <c r="BJ424" s="307"/>
      <c r="BK424" s="307"/>
      <c r="BL424" s="307"/>
      <c r="BM424" s="307"/>
      <c r="BN424" s="307"/>
      <c r="BO424" s="307"/>
      <c r="BP424" s="307"/>
      <c r="BQ424" s="307"/>
      <c r="BR424" s="307"/>
      <c r="BS424" s="307"/>
      <c r="BT424" s="307"/>
      <c r="BU424" s="307"/>
      <c r="BV424" s="307"/>
      <c r="BW424" s="307"/>
      <c r="BX424" s="307"/>
      <c r="BY424" s="307"/>
      <c r="BZ424" s="307"/>
      <c r="CA424" s="307"/>
      <c r="CB424" s="307"/>
      <c r="CC424" s="307"/>
      <c r="CD424" s="307"/>
      <c r="CE424" s="307"/>
      <c r="CF424" s="307"/>
      <c r="CG424" s="307"/>
      <c r="CH424" s="307"/>
      <c r="CI424" s="307"/>
      <c r="CJ424" s="307"/>
      <c r="CK424" s="307"/>
      <c r="CL424" s="307"/>
      <c r="CM424" s="307"/>
      <c r="CN424" s="307"/>
      <c r="CO424" s="307"/>
      <c r="CP424" s="307"/>
      <c r="CQ424" s="307"/>
      <c r="CR424" s="307"/>
      <c r="CS424" s="307"/>
      <c r="CT424" s="307"/>
      <c r="CU424" s="307"/>
      <c r="CV424" s="307"/>
      <c r="CW424" s="307"/>
      <c r="CX424" s="307"/>
      <c r="CY424" s="307"/>
      <c r="CZ424" s="307"/>
      <c r="DA424" s="307"/>
      <c r="DB424" s="280"/>
      <c r="DC424" s="280"/>
      <c r="DD424" s="280"/>
      <c r="DE424" s="280"/>
      <c r="DF424" s="280"/>
      <c r="DG424" s="280"/>
      <c r="DH424" s="280"/>
      <c r="DI424" s="280"/>
      <c r="DJ424" s="280"/>
      <c r="DK424" s="280"/>
      <c r="DL424" s="280"/>
      <c r="DM424" s="280"/>
      <c r="DN424" s="280"/>
      <c r="DO424" s="280"/>
      <c r="DP424" s="280"/>
      <c r="DQ424" s="280"/>
      <c r="DR424" s="280"/>
      <c r="DS424" s="280"/>
      <c r="DT424" s="280"/>
      <c r="DU424" s="280"/>
      <c r="DV424" s="280"/>
      <c r="DW424" s="280"/>
      <c r="DX424" s="280"/>
      <c r="DY424" s="280"/>
      <c r="DZ424" s="280"/>
      <c r="EA424" s="280"/>
      <c r="EB424" s="280"/>
      <c r="EC424" s="280"/>
      <c r="ED424" s="280"/>
      <c r="EE424" s="280"/>
      <c r="EF424" s="280"/>
      <c r="EG424" s="280"/>
      <c r="EH424" s="280"/>
      <c r="EI424" s="280"/>
      <c r="EJ424" s="280"/>
      <c r="EK424" s="280"/>
      <c r="EL424" s="280"/>
      <c r="EM424" s="280"/>
      <c r="EN424" s="280"/>
      <c r="EO424" s="280"/>
      <c r="EP424" s="521"/>
      <c r="EQ424" s="521"/>
      <c r="ER424" s="521"/>
      <c r="ES424" s="521"/>
      <c r="ET424" s="521"/>
      <c r="EU424" s="521"/>
      <c r="EV424" s="521"/>
      <c r="EW424" s="521"/>
      <c r="EX424" s="521"/>
      <c r="EY424" s="521"/>
      <c r="EZ424" s="521"/>
      <c r="FA424" s="521"/>
      <c r="FB424" s="521"/>
      <c r="FC424" s="521"/>
      <c r="FD424" s="521"/>
      <c r="FE424" s="521"/>
      <c r="FF424" s="521"/>
      <c r="FG424" s="521"/>
      <c r="FH424" s="567"/>
      <c r="FI424" s="567"/>
      <c r="FJ424" s="567"/>
      <c r="FK424" s="567"/>
      <c r="FL424" s="567"/>
      <c r="FM424" s="567"/>
      <c r="FN424" s="567"/>
      <c r="FO424" s="567"/>
    </row>
    <row r="425" spans="1:171" ht="13.9" customHeight="1">
      <c r="D425" s="569"/>
      <c r="E425" s="570"/>
      <c r="F425" s="571"/>
      <c r="G425" s="571"/>
      <c r="H425" s="571"/>
      <c r="I425" s="571"/>
      <c r="J425" s="571"/>
      <c r="K425" s="572"/>
      <c r="L425" s="569"/>
      <c r="M425" s="569"/>
      <c r="N425" s="569"/>
      <c r="O425" s="569"/>
      <c r="P425" s="566"/>
      <c r="Q425" s="566"/>
      <c r="R425" s="566"/>
      <c r="S425" s="566"/>
      <c r="T425" s="566"/>
      <c r="U425" s="566"/>
      <c r="V425" s="566"/>
      <c r="W425" s="566"/>
    </row>
    <row r="426" spans="1:171" ht="13.9" customHeight="1">
      <c r="D426" s="569"/>
      <c r="E426" s="570"/>
      <c r="F426" s="571"/>
      <c r="G426" s="571"/>
      <c r="H426" s="571"/>
      <c r="I426" s="571"/>
      <c r="J426" s="571"/>
      <c r="K426" s="572"/>
      <c r="L426" s="569"/>
      <c r="M426" s="569"/>
      <c r="N426" s="569"/>
      <c r="O426" s="569"/>
      <c r="P426" s="566"/>
      <c r="Q426" s="566"/>
      <c r="R426" s="566"/>
      <c r="S426" s="566"/>
      <c r="T426" s="566"/>
      <c r="U426" s="566"/>
      <c r="V426" s="566"/>
      <c r="W426" s="566"/>
    </row>
    <row r="427" spans="1:171" ht="13.9" customHeight="1">
      <c r="D427" s="569"/>
      <c r="E427" s="570"/>
      <c r="F427" s="571"/>
      <c r="G427" s="571"/>
      <c r="H427" s="571"/>
      <c r="I427" s="571"/>
      <c r="J427" s="571"/>
      <c r="K427" s="572"/>
      <c r="L427" s="569"/>
      <c r="M427" s="569"/>
      <c r="N427" s="569"/>
      <c r="O427" s="569"/>
      <c r="P427" s="566"/>
      <c r="Q427" s="566"/>
      <c r="R427" s="566"/>
      <c r="S427" s="566"/>
      <c r="T427" s="566"/>
      <c r="U427" s="566"/>
      <c r="V427" s="566"/>
      <c r="W427" s="566"/>
    </row>
    <row r="428" spans="1:171" ht="13.9" customHeight="1">
      <c r="D428" s="569"/>
      <c r="E428" s="570"/>
      <c r="F428" s="571"/>
      <c r="G428" s="571"/>
      <c r="H428" s="571"/>
      <c r="I428" s="571"/>
      <c r="J428" s="571"/>
      <c r="K428" s="572"/>
      <c r="L428" s="569"/>
      <c r="M428" s="569"/>
      <c r="N428" s="569"/>
      <c r="O428" s="569"/>
      <c r="P428" s="566"/>
      <c r="Q428" s="566"/>
      <c r="R428" s="566"/>
      <c r="S428" s="566"/>
      <c r="T428" s="566"/>
      <c r="U428" s="566"/>
      <c r="V428" s="566"/>
      <c r="W428" s="566"/>
    </row>
    <row r="429" spans="1:171" ht="13.9" customHeight="1">
      <c r="D429" s="569"/>
      <c r="E429" s="570"/>
      <c r="F429" s="571"/>
      <c r="G429" s="571"/>
      <c r="H429" s="571"/>
      <c r="I429" s="571"/>
      <c r="J429" s="571"/>
      <c r="K429" s="572"/>
      <c r="L429" s="569"/>
      <c r="M429" s="569"/>
      <c r="N429" s="569"/>
      <c r="O429" s="569"/>
      <c r="P429" s="566"/>
      <c r="Q429" s="566"/>
      <c r="R429" s="566"/>
      <c r="S429" s="566"/>
      <c r="T429" s="566"/>
      <c r="U429" s="566"/>
      <c r="V429" s="566"/>
      <c r="W429" s="566"/>
    </row>
    <row r="430" spans="1:171" ht="13.9" customHeight="1">
      <c r="D430" s="569"/>
      <c r="E430" s="570"/>
      <c r="F430" s="571"/>
      <c r="G430" s="571"/>
      <c r="H430" s="571"/>
      <c r="I430" s="571"/>
      <c r="J430" s="571"/>
      <c r="K430" s="572"/>
      <c r="L430" s="569"/>
      <c r="M430" s="569"/>
      <c r="N430" s="569"/>
      <c r="O430" s="569"/>
      <c r="P430" s="566"/>
      <c r="Q430" s="566"/>
      <c r="R430" s="566"/>
      <c r="S430" s="566"/>
      <c r="T430" s="566"/>
      <c r="U430" s="566"/>
      <c r="V430" s="566"/>
      <c r="W430" s="566"/>
    </row>
    <row r="431" spans="1:171" ht="13.9" customHeight="1">
      <c r="D431" s="569"/>
      <c r="E431" s="570"/>
      <c r="F431" s="571"/>
      <c r="G431" s="571"/>
      <c r="H431" s="571"/>
      <c r="I431" s="571"/>
      <c r="J431" s="571"/>
      <c r="K431" s="572"/>
      <c r="L431" s="569"/>
      <c r="M431" s="569"/>
      <c r="N431" s="569"/>
      <c r="O431" s="569"/>
      <c r="P431" s="566"/>
      <c r="Q431" s="566"/>
      <c r="R431" s="566"/>
      <c r="S431" s="566"/>
      <c r="T431" s="566"/>
      <c r="U431" s="566"/>
      <c r="V431" s="566"/>
      <c r="W431" s="566"/>
    </row>
    <row r="432" spans="1:171" ht="13.9" customHeight="1">
      <c r="D432" s="569"/>
      <c r="E432" s="570"/>
      <c r="F432" s="571"/>
      <c r="G432" s="571"/>
      <c r="H432" s="571"/>
      <c r="I432" s="571"/>
      <c r="J432" s="571"/>
      <c r="K432" s="572"/>
      <c r="L432" s="569"/>
      <c r="M432" s="569"/>
      <c r="N432" s="569"/>
      <c r="O432" s="569"/>
      <c r="P432" s="566"/>
      <c r="Q432" s="566"/>
      <c r="R432" s="566"/>
      <c r="S432" s="566"/>
      <c r="T432" s="566"/>
      <c r="U432" s="566"/>
      <c r="V432" s="566"/>
      <c r="W432" s="566"/>
    </row>
    <row r="433" spans="4:23" ht="13.9" customHeight="1">
      <c r="D433" s="569"/>
      <c r="E433" s="570"/>
      <c r="F433" s="571"/>
      <c r="G433" s="571"/>
      <c r="H433" s="571"/>
      <c r="I433" s="571"/>
      <c r="J433" s="571"/>
      <c r="K433" s="572"/>
      <c r="L433" s="569"/>
      <c r="M433" s="569"/>
      <c r="N433" s="569"/>
      <c r="O433" s="569"/>
      <c r="P433" s="566"/>
      <c r="Q433" s="566"/>
      <c r="R433" s="566"/>
      <c r="S433" s="566"/>
      <c r="T433" s="566"/>
      <c r="U433" s="566"/>
      <c r="V433" s="566"/>
      <c r="W433" s="566"/>
    </row>
    <row r="434" spans="4:23" ht="13.9" customHeight="1">
      <c r="D434" s="569"/>
      <c r="E434" s="570"/>
      <c r="F434" s="571"/>
      <c r="G434" s="571"/>
      <c r="H434" s="571"/>
      <c r="I434" s="571"/>
      <c r="J434" s="571"/>
      <c r="K434" s="572"/>
      <c r="L434" s="569"/>
      <c r="M434" s="569"/>
      <c r="N434" s="569"/>
      <c r="O434" s="569"/>
      <c r="P434" s="566"/>
      <c r="Q434" s="566"/>
      <c r="R434" s="566"/>
      <c r="S434" s="566"/>
      <c r="T434" s="566"/>
      <c r="U434" s="566"/>
      <c r="V434" s="566"/>
      <c r="W434" s="566"/>
    </row>
    <row r="435" spans="4:23" ht="13.9" customHeight="1">
      <c r="D435" s="569"/>
      <c r="E435" s="570"/>
      <c r="F435" s="571"/>
      <c r="G435" s="571"/>
      <c r="H435" s="571"/>
      <c r="I435" s="571"/>
      <c r="J435" s="571"/>
      <c r="K435" s="572"/>
      <c r="L435" s="569"/>
      <c r="M435" s="569"/>
      <c r="N435" s="569"/>
      <c r="O435" s="569"/>
      <c r="P435" s="566"/>
      <c r="Q435" s="566"/>
      <c r="R435" s="566"/>
      <c r="S435" s="566"/>
      <c r="T435" s="566"/>
      <c r="U435" s="566"/>
      <c r="V435" s="566"/>
      <c r="W435" s="566"/>
    </row>
    <row r="436" spans="4:23" ht="13.9" customHeight="1">
      <c r="D436" s="569"/>
      <c r="E436" s="570"/>
      <c r="F436" s="571"/>
      <c r="G436" s="571"/>
      <c r="H436" s="571"/>
      <c r="I436" s="571"/>
      <c r="J436" s="571"/>
      <c r="K436" s="572"/>
      <c r="L436" s="569"/>
      <c r="M436" s="569"/>
      <c r="N436" s="569"/>
      <c r="O436" s="569"/>
      <c r="P436" s="566"/>
      <c r="Q436" s="566"/>
      <c r="R436" s="566"/>
      <c r="S436" s="566"/>
      <c r="T436" s="566"/>
      <c r="U436" s="566"/>
      <c r="V436" s="566"/>
      <c r="W436" s="566"/>
    </row>
    <row r="437" spans="4:23" ht="13.9" customHeight="1">
      <c r="D437" s="569"/>
      <c r="E437" s="570"/>
      <c r="F437" s="571"/>
      <c r="G437" s="571"/>
      <c r="H437" s="571"/>
      <c r="I437" s="571"/>
      <c r="J437" s="571"/>
      <c r="K437" s="572"/>
      <c r="L437" s="569"/>
      <c r="M437" s="569"/>
      <c r="N437" s="569"/>
      <c r="O437" s="569"/>
      <c r="P437" s="566"/>
      <c r="Q437" s="566"/>
      <c r="R437" s="566"/>
      <c r="S437" s="566"/>
      <c r="T437" s="566"/>
      <c r="U437" s="566"/>
      <c r="V437" s="566"/>
      <c r="W437" s="566"/>
    </row>
    <row r="438" spans="4:23" ht="13.9" customHeight="1">
      <c r="D438" s="569"/>
      <c r="E438" s="570"/>
      <c r="F438" s="571"/>
      <c r="G438" s="571"/>
      <c r="H438" s="571"/>
      <c r="I438" s="571"/>
      <c r="J438" s="571"/>
      <c r="K438" s="572"/>
      <c r="L438" s="569"/>
      <c r="M438" s="569"/>
      <c r="N438" s="569"/>
      <c r="O438" s="569"/>
      <c r="P438" s="566"/>
      <c r="Q438" s="566"/>
      <c r="R438" s="566"/>
      <c r="S438" s="566"/>
      <c r="T438" s="566"/>
      <c r="U438" s="566"/>
      <c r="V438" s="566"/>
      <c r="W438" s="566"/>
    </row>
    <row r="439" spans="4:23" ht="13.9" customHeight="1">
      <c r="D439" s="569"/>
      <c r="E439" s="570"/>
      <c r="F439" s="571"/>
      <c r="G439" s="571"/>
      <c r="H439" s="571"/>
      <c r="I439" s="571"/>
      <c r="J439" s="571"/>
      <c r="K439" s="572"/>
      <c r="L439" s="569"/>
      <c r="M439" s="569"/>
      <c r="N439" s="569"/>
      <c r="O439" s="569"/>
      <c r="P439" s="566"/>
      <c r="Q439" s="566"/>
      <c r="R439" s="566"/>
      <c r="S439" s="566"/>
      <c r="T439" s="566"/>
      <c r="U439" s="566"/>
      <c r="V439" s="566"/>
      <c r="W439" s="566"/>
    </row>
    <row r="440" spans="4:23" ht="13.9" customHeight="1">
      <c r="D440" s="569"/>
      <c r="E440" s="570"/>
      <c r="F440" s="571"/>
      <c r="G440" s="571"/>
      <c r="H440" s="571"/>
      <c r="I440" s="571"/>
      <c r="J440" s="571"/>
      <c r="K440" s="572"/>
      <c r="L440" s="569"/>
      <c r="M440" s="569"/>
      <c r="N440" s="569"/>
      <c r="O440" s="569"/>
      <c r="P440" s="566"/>
      <c r="Q440" s="566"/>
      <c r="R440" s="566"/>
      <c r="S440" s="566"/>
      <c r="T440" s="566"/>
      <c r="U440" s="566"/>
      <c r="V440" s="566"/>
      <c r="W440" s="566"/>
    </row>
    <row r="441" spans="4:23" ht="13.9" customHeight="1">
      <c r="D441" s="569"/>
      <c r="E441" s="570"/>
      <c r="F441" s="571"/>
      <c r="G441" s="571"/>
      <c r="H441" s="571"/>
      <c r="I441" s="571"/>
      <c r="J441" s="571"/>
      <c r="K441" s="572"/>
      <c r="L441" s="569"/>
      <c r="M441" s="569"/>
      <c r="N441" s="569"/>
      <c r="O441" s="569"/>
      <c r="P441" s="566"/>
      <c r="Q441" s="566"/>
      <c r="R441" s="566"/>
      <c r="S441" s="566"/>
      <c r="T441" s="566"/>
      <c r="U441" s="566"/>
      <c r="V441" s="566"/>
      <c r="W441" s="566"/>
    </row>
    <row r="442" spans="4:23" ht="13.9" customHeight="1">
      <c r="D442" s="569"/>
      <c r="E442" s="570"/>
      <c r="F442" s="571"/>
      <c r="G442" s="571"/>
      <c r="H442" s="571"/>
      <c r="I442" s="571"/>
      <c r="J442" s="571"/>
      <c r="K442" s="572"/>
      <c r="L442" s="569"/>
      <c r="M442" s="569"/>
      <c r="N442" s="569"/>
      <c r="O442" s="569"/>
      <c r="P442" s="566"/>
      <c r="Q442" s="566"/>
      <c r="R442" s="566"/>
      <c r="S442" s="566"/>
      <c r="T442" s="566"/>
      <c r="U442" s="566"/>
      <c r="V442" s="566"/>
      <c r="W442" s="566"/>
    </row>
    <row r="443" spans="4:23" ht="13.9" customHeight="1">
      <c r="D443" s="569"/>
      <c r="E443" s="570"/>
      <c r="F443" s="571"/>
      <c r="G443" s="571"/>
      <c r="H443" s="571"/>
      <c r="I443" s="571"/>
      <c r="J443" s="571"/>
      <c r="K443" s="572"/>
      <c r="L443" s="569"/>
      <c r="M443" s="569"/>
      <c r="N443" s="569"/>
      <c r="O443" s="569"/>
      <c r="P443" s="566"/>
      <c r="Q443" s="566"/>
      <c r="R443" s="566"/>
      <c r="S443" s="566"/>
      <c r="T443" s="566"/>
      <c r="U443" s="566"/>
      <c r="V443" s="566"/>
      <c r="W443" s="566"/>
    </row>
    <row r="444" spans="4:23" ht="13.9" customHeight="1">
      <c r="D444" s="569"/>
      <c r="E444" s="570"/>
      <c r="F444" s="571"/>
      <c r="G444" s="571"/>
      <c r="H444" s="571"/>
      <c r="I444" s="571"/>
      <c r="J444" s="571"/>
      <c r="K444" s="572"/>
      <c r="L444" s="569"/>
      <c r="M444" s="569"/>
      <c r="N444" s="569"/>
      <c r="O444" s="569"/>
      <c r="P444" s="566"/>
      <c r="Q444" s="566"/>
      <c r="R444" s="566"/>
      <c r="S444" s="566"/>
      <c r="T444" s="566"/>
      <c r="U444" s="566"/>
      <c r="V444" s="566"/>
      <c r="W444" s="566"/>
    </row>
    <row r="445" spans="4:23" ht="13.9" customHeight="1">
      <c r="D445" s="569"/>
      <c r="E445" s="570"/>
      <c r="F445" s="571"/>
      <c r="G445" s="571"/>
      <c r="H445" s="571"/>
      <c r="I445" s="571"/>
      <c r="J445" s="571"/>
      <c r="K445" s="572"/>
      <c r="L445" s="569"/>
      <c r="M445" s="569"/>
      <c r="N445" s="569"/>
      <c r="O445" s="569"/>
      <c r="P445" s="566"/>
      <c r="Q445" s="566"/>
      <c r="R445" s="566"/>
      <c r="S445" s="566"/>
      <c r="T445" s="566"/>
      <c r="U445" s="566"/>
      <c r="V445" s="566"/>
      <c r="W445" s="566"/>
    </row>
    <row r="446" spans="4:23" ht="13.9" customHeight="1">
      <c r="D446" s="569"/>
      <c r="E446" s="570"/>
      <c r="F446" s="571"/>
      <c r="G446" s="571"/>
      <c r="H446" s="571"/>
      <c r="I446" s="571"/>
      <c r="J446" s="571"/>
      <c r="K446" s="572"/>
      <c r="L446" s="569"/>
      <c r="M446" s="569"/>
      <c r="N446" s="569"/>
      <c r="O446" s="569"/>
      <c r="P446" s="566"/>
      <c r="Q446" s="566"/>
      <c r="R446" s="566"/>
      <c r="S446" s="566"/>
      <c r="T446" s="566"/>
      <c r="U446" s="566"/>
      <c r="V446" s="566"/>
      <c r="W446" s="566"/>
    </row>
    <row r="447" spans="4:23" ht="13.9" customHeight="1">
      <c r="D447" s="569"/>
      <c r="E447" s="570"/>
      <c r="F447" s="571"/>
      <c r="G447" s="571"/>
      <c r="H447" s="571"/>
      <c r="I447" s="571"/>
      <c r="J447" s="571"/>
      <c r="K447" s="572"/>
      <c r="L447" s="569"/>
      <c r="M447" s="569"/>
      <c r="N447" s="569"/>
      <c r="O447" s="569"/>
      <c r="P447" s="566"/>
      <c r="Q447" s="566"/>
      <c r="R447" s="566"/>
      <c r="S447" s="566"/>
      <c r="T447" s="566"/>
      <c r="U447" s="566"/>
      <c r="V447" s="566"/>
      <c r="W447" s="566"/>
    </row>
    <row r="448" spans="4:23" ht="13.9" customHeight="1">
      <c r="D448" s="569"/>
      <c r="E448" s="570"/>
      <c r="F448" s="571"/>
      <c r="G448" s="571"/>
      <c r="H448" s="571"/>
      <c r="I448" s="571"/>
      <c r="J448" s="571"/>
      <c r="K448" s="572"/>
      <c r="L448" s="569"/>
      <c r="M448" s="569"/>
      <c r="N448" s="569"/>
      <c r="O448" s="569"/>
      <c r="P448" s="566"/>
      <c r="Q448" s="566"/>
      <c r="R448" s="566"/>
      <c r="S448" s="566"/>
      <c r="T448" s="566"/>
      <c r="U448" s="566"/>
      <c r="V448" s="566"/>
      <c r="W448" s="566"/>
    </row>
    <row r="449" spans="4:23" ht="13.9" customHeight="1">
      <c r="D449" s="569"/>
      <c r="E449" s="570"/>
      <c r="F449" s="571"/>
      <c r="G449" s="571"/>
      <c r="H449" s="571"/>
      <c r="I449" s="571"/>
      <c r="J449" s="571"/>
      <c r="K449" s="572"/>
      <c r="L449" s="569"/>
      <c r="M449" s="569"/>
      <c r="N449" s="569"/>
      <c r="O449" s="569"/>
      <c r="P449" s="566"/>
      <c r="Q449" s="566"/>
      <c r="R449" s="566"/>
      <c r="S449" s="566"/>
      <c r="T449" s="566"/>
      <c r="U449" s="566"/>
      <c r="V449" s="566"/>
      <c r="W449" s="566"/>
    </row>
    <row r="450" spans="4:23" ht="13.9" customHeight="1">
      <c r="D450" s="569"/>
      <c r="E450" s="570"/>
      <c r="F450" s="571"/>
      <c r="G450" s="571"/>
      <c r="H450" s="571"/>
      <c r="I450" s="571"/>
      <c r="J450" s="571"/>
      <c r="K450" s="572"/>
      <c r="L450" s="569"/>
      <c r="M450" s="569"/>
      <c r="N450" s="569"/>
      <c r="O450" s="569"/>
      <c r="P450" s="566"/>
      <c r="Q450" s="566"/>
      <c r="R450" s="566"/>
      <c r="S450" s="566"/>
      <c r="T450" s="566"/>
      <c r="U450" s="566"/>
      <c r="V450" s="566"/>
      <c r="W450" s="566"/>
    </row>
    <row r="451" spans="4:23" ht="13.9" customHeight="1">
      <c r="D451" s="569"/>
      <c r="E451" s="570"/>
      <c r="F451" s="571"/>
      <c r="G451" s="571"/>
      <c r="H451" s="571"/>
      <c r="I451" s="571"/>
      <c r="J451" s="571"/>
      <c r="K451" s="572"/>
      <c r="L451" s="569"/>
      <c r="M451" s="569"/>
      <c r="N451" s="569"/>
      <c r="O451" s="569"/>
      <c r="P451" s="566"/>
      <c r="Q451" s="566"/>
      <c r="R451" s="566"/>
      <c r="S451" s="566"/>
      <c r="T451" s="566"/>
      <c r="U451" s="566"/>
      <c r="V451" s="566"/>
      <c r="W451" s="566"/>
    </row>
    <row r="452" spans="4:23" ht="13.9" customHeight="1">
      <c r="D452" s="569"/>
      <c r="E452" s="570"/>
      <c r="F452" s="571"/>
      <c r="G452" s="571"/>
      <c r="H452" s="571"/>
      <c r="I452" s="571"/>
      <c r="J452" s="571"/>
      <c r="K452" s="572"/>
      <c r="L452" s="569"/>
      <c r="M452" s="569"/>
      <c r="N452" s="569"/>
      <c r="O452" s="569"/>
      <c r="P452" s="566"/>
      <c r="Q452" s="566"/>
      <c r="R452" s="566"/>
      <c r="S452" s="566"/>
      <c r="T452" s="566"/>
      <c r="U452" s="566"/>
      <c r="V452" s="566"/>
      <c r="W452" s="566"/>
    </row>
    <row r="453" spans="4:23" ht="13.9" customHeight="1">
      <c r="D453" s="569"/>
      <c r="E453" s="570"/>
      <c r="F453" s="571"/>
      <c r="G453" s="571"/>
      <c r="H453" s="571"/>
      <c r="I453" s="571"/>
      <c r="J453" s="571"/>
      <c r="K453" s="572"/>
      <c r="L453" s="569"/>
      <c r="M453" s="569"/>
      <c r="N453" s="569"/>
      <c r="O453" s="569"/>
      <c r="P453" s="566"/>
      <c r="Q453" s="566"/>
      <c r="R453" s="566"/>
      <c r="S453" s="566"/>
      <c r="T453" s="566"/>
      <c r="U453" s="566"/>
      <c r="V453" s="566"/>
      <c r="W453" s="566"/>
    </row>
    <row r="454" spans="4:23" ht="13.9" customHeight="1">
      <c r="D454" s="569"/>
      <c r="E454" s="570"/>
      <c r="F454" s="571"/>
      <c r="G454" s="571"/>
      <c r="H454" s="571"/>
      <c r="I454" s="571"/>
      <c r="J454" s="571"/>
      <c r="K454" s="572"/>
      <c r="L454" s="569"/>
      <c r="M454" s="569"/>
      <c r="N454" s="569"/>
      <c r="O454" s="569"/>
      <c r="P454" s="566"/>
      <c r="Q454" s="566"/>
      <c r="R454" s="566"/>
      <c r="S454" s="566"/>
      <c r="T454" s="566"/>
      <c r="U454" s="566"/>
      <c r="V454" s="566"/>
      <c r="W454" s="566"/>
    </row>
  </sheetData>
  <sheetProtection selectLockedCells="1" selectUnlockedCells="1"/>
  <mergeCells count="31">
    <mergeCell ref="B36:B37"/>
    <mergeCell ref="A11:A33"/>
    <mergeCell ref="A34:A37"/>
    <mergeCell ref="C36:C37"/>
    <mergeCell ref="B11:B15"/>
    <mergeCell ref="C11:C15"/>
    <mergeCell ref="B16:B20"/>
    <mergeCell ref="C16:C20"/>
    <mergeCell ref="B21:B23"/>
    <mergeCell ref="C21:C23"/>
    <mergeCell ref="B24:B29"/>
    <mergeCell ref="C24:C29"/>
    <mergeCell ref="B30:B32"/>
    <mergeCell ref="C30:C32"/>
    <mergeCell ref="P6:S6"/>
    <mergeCell ref="V6:AA6"/>
    <mergeCell ref="U6:U7"/>
    <mergeCell ref="F6:F7"/>
    <mergeCell ref="A6:C7"/>
    <mergeCell ref="D6:E7"/>
    <mergeCell ref="L6:O6"/>
    <mergeCell ref="K6:K7"/>
    <mergeCell ref="T6:T7"/>
    <mergeCell ref="B3:D3"/>
    <mergeCell ref="A5:C5"/>
    <mergeCell ref="D5:F5"/>
    <mergeCell ref="G6:J6"/>
    <mergeCell ref="A8:A10"/>
    <mergeCell ref="B8:B10"/>
    <mergeCell ref="C8:C10"/>
    <mergeCell ref="G3:J3"/>
  </mergeCells>
  <phoneticPr fontId="4" type="noConversion"/>
  <conditionalFormatting sqref="G14:H14">
    <cfRule type="containsBlanks" dxfId="44" priority="2">
      <formula>LEN(TRIM(G14))=0</formula>
    </cfRule>
  </conditionalFormatting>
  <conditionalFormatting sqref="I8:J37">
    <cfRule type="containsBlanks" dxfId="43" priority="5">
      <formula>LEN(TRIM(I8))=0</formula>
    </cfRule>
  </conditionalFormatting>
  <conditionalFormatting sqref="L8:O37">
    <cfRule type="containsBlanks" dxfId="42" priority="1">
      <formula>LEN(TRIM(L8))=0</formula>
    </cfRule>
  </conditionalFormatting>
  <conditionalFormatting sqref="V8:AA37">
    <cfRule type="cellIs" dxfId="41" priority="6" operator="equal">
      <formula>"Adecuado"</formula>
    </cfRule>
    <cfRule type="cellIs" dxfId="40" priority="7" operator="equal">
      <formula>"Regular"</formula>
    </cfRule>
    <cfRule type="cellIs" dxfId="39" priority="8" operator="equal">
      <formula>"Deficiente"</formula>
    </cfRule>
  </conditionalFormatting>
  <dataValidations count="3">
    <dataValidation type="list" allowBlank="1" showInputMessage="1" showErrorMessage="1" sqref="AP2 E3" xr:uid="{0190FEFE-D873-4208-8FC8-8C7D58E528FB}">
      <formula1>$AN$6:$AX$6</formula1>
    </dataValidation>
    <dataValidation type="list" allowBlank="1" showInputMessage="1" showErrorMessage="1" sqref="AR2" xr:uid="{7BAD6F4F-AD19-4779-8018-7282BB832E2F}">
      <formula1>INDIRECT($AP$2)</formula1>
    </dataValidation>
    <dataValidation type="list" allowBlank="1" showInputMessage="1" showErrorMessage="1" sqref="G3:J3" xr:uid="{C567EA3B-292C-4AD6-A919-4E6F27D56A45}">
      <formula1>INDIRECT($E$3)</formula1>
    </dataValidation>
  </dataValidations>
  <printOptions horizontalCentered="1" verticalCentered="1"/>
  <pageMargins left="0.31" right="0.35433070866141736" top="0.13" bottom="0.14000000000000001" header="0" footer="0"/>
  <pageSetup paperSize="9" scale="50" orientation="landscape" r:id="rId1"/>
  <headerFooter alignWithMargins="0"/>
  <tableParts count="11">
    <tablePart r:id="rId2"/>
    <tablePart r:id="rId3"/>
    <tablePart r:id="rId4"/>
    <tablePart r:id="rId5"/>
    <tablePart r:id="rId6"/>
    <tablePart r:id="rId7"/>
    <tablePart r:id="rId8"/>
    <tablePart r:id="rId9"/>
    <tablePart r:id="rId10"/>
    <tablePart r:id="rId11"/>
    <tablePart r:id="rId1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C1:P15"/>
  <sheetViews>
    <sheetView workbookViewId="0">
      <selection activeCell="O33" sqref="O33"/>
    </sheetView>
  </sheetViews>
  <sheetFormatPr baseColWidth="10" defaultRowHeight="12.75"/>
  <cols>
    <col min="2" max="2" width="18.85546875" customWidth="1"/>
    <col min="3" max="3" width="3.5703125" customWidth="1"/>
    <col min="4" max="4" width="9.42578125" customWidth="1"/>
    <col min="5" max="5" width="9" customWidth="1"/>
    <col min="6" max="6" width="2.85546875" customWidth="1"/>
    <col min="7" max="7" width="2.7109375" customWidth="1"/>
    <col min="8" max="8" width="5.85546875" customWidth="1"/>
    <col min="9" max="9" width="8.28515625" customWidth="1"/>
    <col min="10" max="10" width="2" customWidth="1"/>
  </cols>
  <sheetData>
    <row r="1" spans="3:16">
      <c r="D1" s="173" t="s">
        <v>343</v>
      </c>
      <c r="E1" s="173" t="s">
        <v>342</v>
      </c>
      <c r="F1" s="173"/>
      <c r="G1" s="173" t="s">
        <v>344</v>
      </c>
    </row>
    <row r="2" spans="3:16" ht="16.5" hidden="1">
      <c r="D2">
        <v>0</v>
      </c>
      <c r="E2" s="171" t="s">
        <v>345</v>
      </c>
      <c r="F2" s="175"/>
      <c r="G2">
        <v>5</v>
      </c>
      <c r="I2" s="172">
        <f>+'F2'!P8</f>
        <v>0</v>
      </c>
      <c r="K2" s="38" t="str">
        <f>IF(AND(I2&gt;D2,I2&lt;G2),"Adecuado","Deficiente")</f>
        <v>Deficiente</v>
      </c>
    </row>
    <row r="3" spans="3:16" hidden="1"/>
    <row r="4" spans="3:16" ht="33">
      <c r="C4" s="173" t="s">
        <v>306</v>
      </c>
      <c r="D4">
        <v>3</v>
      </c>
      <c r="E4" s="171">
        <v>4</v>
      </c>
      <c r="F4" s="176" t="s">
        <v>308</v>
      </c>
      <c r="G4">
        <v>7</v>
      </c>
      <c r="I4" s="172">
        <v>4</v>
      </c>
      <c r="K4" s="38" t="str">
        <f>IF((I4&lt;=D4),"Adecuado", IF(AND(I4&gt;=E4,I4&lt;G4),"Regular","Deficiente"))</f>
        <v>Regular</v>
      </c>
      <c r="N4" s="173" t="s">
        <v>306</v>
      </c>
      <c r="O4">
        <v>3</v>
      </c>
      <c r="P4" s="173" t="s">
        <v>343</v>
      </c>
    </row>
    <row r="5" spans="3:16" ht="16.5">
      <c r="N5" s="171" t="s">
        <v>307</v>
      </c>
      <c r="P5" s="173" t="s">
        <v>342</v>
      </c>
    </row>
    <row r="6" spans="3:16" ht="16.5">
      <c r="D6">
        <v>3</v>
      </c>
      <c r="E6" s="171" t="s">
        <v>307</v>
      </c>
      <c r="F6" s="175"/>
      <c r="G6">
        <v>5</v>
      </c>
      <c r="I6" s="172">
        <f>+I4</f>
        <v>4</v>
      </c>
      <c r="K6" s="38" t="str">
        <f>IF(AND(I6&gt;=E6,I6&lt;G6),"Regular","Deficiente")</f>
        <v>Deficiente</v>
      </c>
      <c r="N6" s="173" t="s">
        <v>16</v>
      </c>
      <c r="O6">
        <v>5</v>
      </c>
      <c r="P6" s="173" t="s">
        <v>344</v>
      </c>
    </row>
    <row r="8" spans="3:16">
      <c r="I8" s="174"/>
    </row>
    <row r="13" spans="3:16" ht="16.5">
      <c r="D13">
        <v>1</v>
      </c>
      <c r="E13" s="171" t="s">
        <v>340</v>
      </c>
      <c r="F13" s="175"/>
      <c r="G13">
        <v>5</v>
      </c>
      <c r="I13">
        <v>5</v>
      </c>
      <c r="K13" s="38" t="str">
        <f>IF((I13&lt;=D13),"Adecuado",IF((I13&lt;&gt;G13),"Regular","Deficiente"))</f>
        <v>Deficiente</v>
      </c>
    </row>
    <row r="15" spans="3:16" ht="16.5">
      <c r="D15">
        <v>9</v>
      </c>
      <c r="E15" s="171" t="s">
        <v>341</v>
      </c>
      <c r="F15" s="175"/>
      <c r="G15">
        <v>11.1</v>
      </c>
      <c r="I15">
        <v>9</v>
      </c>
      <c r="K15" s="38" t="str">
        <f>IF((I15&lt;=D15),"Adecuado",IF((I15&lt;&gt;G15),"Regular","Deficiente"))</f>
        <v>Adecuado</v>
      </c>
    </row>
  </sheetData>
  <conditionalFormatting sqref="K2">
    <cfRule type="cellIs" dxfId="38" priority="49" operator="equal">
      <formula>"Adecuado"</formula>
    </cfRule>
    <cfRule type="cellIs" dxfId="37" priority="50" operator="equal">
      <formula>"Regular"</formula>
    </cfRule>
    <cfRule type="cellIs" dxfId="36" priority="51" operator="equal">
      <formula>"Deficiente"</formula>
    </cfRule>
  </conditionalFormatting>
  <conditionalFormatting sqref="K4">
    <cfRule type="cellIs" dxfId="35" priority="13" operator="equal">
      <formula>"Adecuado"</formula>
    </cfRule>
    <cfRule type="cellIs" dxfId="34" priority="14" operator="equal">
      <formula>"Regular"</formula>
    </cfRule>
    <cfRule type="cellIs" dxfId="33" priority="15" operator="equal">
      <formula>"Deficiente"</formula>
    </cfRule>
  </conditionalFormatting>
  <conditionalFormatting sqref="K6">
    <cfRule type="cellIs" dxfId="32" priority="1" operator="equal">
      <formula>"Adecuado"</formula>
    </cfRule>
    <cfRule type="cellIs" dxfId="31" priority="2" operator="equal">
      <formula>"Regular"</formula>
    </cfRule>
    <cfRule type="cellIs" dxfId="30" priority="3" operator="equal">
      <formula>"Deficiente"</formula>
    </cfRule>
  </conditionalFormatting>
  <conditionalFormatting sqref="K13">
    <cfRule type="cellIs" dxfId="29" priority="79" operator="equal">
      <formula>"Adecuado"</formula>
    </cfRule>
    <cfRule type="cellIs" dxfId="28" priority="80" operator="equal">
      <formula>"Regular"</formula>
    </cfRule>
    <cfRule type="cellIs" dxfId="27" priority="81" operator="equal">
      <formula>"Deficiente"</formula>
    </cfRule>
  </conditionalFormatting>
  <conditionalFormatting sqref="K15">
    <cfRule type="cellIs" dxfId="26" priority="67" operator="equal">
      <formula>"Adecuado"</formula>
    </cfRule>
    <cfRule type="cellIs" dxfId="25" priority="68" operator="equal">
      <formula>"Regular"</formula>
    </cfRule>
    <cfRule type="cellIs" dxfId="24" priority="69" operator="equal">
      <formula>"Deficiente"</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tabColor rgb="FF00B050"/>
  </sheetPr>
  <dimension ref="A1:GH863"/>
  <sheetViews>
    <sheetView workbookViewId="0">
      <selection sqref="A1:XFD1048576"/>
    </sheetView>
  </sheetViews>
  <sheetFormatPr baseColWidth="10" defaultColWidth="11.42578125" defaultRowHeight="12.75"/>
  <cols>
    <col min="1" max="1" width="7.28515625" style="436" customWidth="1"/>
    <col min="2" max="2" width="6.28515625" style="436" customWidth="1"/>
    <col min="3" max="3" width="18.7109375" style="437" customWidth="1"/>
    <col min="4" max="4" width="6.140625" style="437" customWidth="1"/>
    <col min="5" max="5" width="59.85546875" style="438" customWidth="1"/>
    <col min="6" max="6" width="28.42578125" style="436" customWidth="1"/>
    <col min="7" max="7" width="20.140625" style="436" customWidth="1"/>
    <col min="8" max="8" width="17.7109375" style="436" customWidth="1"/>
    <col min="9" max="9" width="18.42578125" style="436" customWidth="1"/>
    <col min="10" max="10" width="17.7109375" style="436" customWidth="1"/>
    <col min="11" max="11" width="18.42578125" style="436" customWidth="1"/>
    <col min="12" max="12" width="17.7109375" style="436" customWidth="1"/>
    <col min="13" max="14" width="18.42578125" style="436" customWidth="1"/>
    <col min="15" max="190" width="11.42578125" style="1"/>
    <col min="191" max="16384" width="11.42578125" style="393"/>
  </cols>
  <sheetData>
    <row r="1" spans="1:190" s="388" customFormat="1" ht="20.25">
      <c r="A1" s="695" t="s">
        <v>142</v>
      </c>
      <c r="B1" s="695"/>
      <c r="C1" s="695"/>
      <c r="D1" s="695"/>
      <c r="E1" s="695"/>
      <c r="F1" s="695"/>
    </row>
    <row r="2" spans="1:190" ht="22.5">
      <c r="A2" s="389"/>
      <c r="B2" s="389"/>
      <c r="C2" s="390"/>
      <c r="D2" s="390"/>
      <c r="E2" s="391"/>
      <c r="F2" s="4"/>
      <c r="G2" s="4"/>
      <c r="H2" s="392"/>
      <c r="I2" s="4"/>
      <c r="J2" s="392"/>
      <c r="K2" s="4"/>
      <c r="L2" s="392"/>
      <c r="M2" s="4"/>
      <c r="N2" s="4"/>
    </row>
    <row r="3" spans="1:190" ht="23.25" thickBot="1">
      <c r="A3" s="696" t="str">
        <f>Performance!A3</f>
        <v>MOYOBAMBA</v>
      </c>
      <c r="B3" s="696"/>
      <c r="C3" s="696"/>
      <c r="D3" s="710" t="str">
        <f>+Performance!C3</f>
        <v>MOYOBAMBA</v>
      </c>
      <c r="E3" s="696"/>
      <c r="F3" s="696"/>
      <c r="G3" s="392"/>
      <c r="H3" s="1"/>
      <c r="I3" s="1"/>
      <c r="J3" s="1"/>
      <c r="K3" s="1"/>
      <c r="L3" s="1"/>
      <c r="M3" s="1"/>
      <c r="N3" s="1"/>
    </row>
    <row r="4" spans="1:190" s="396" customFormat="1" ht="15.75">
      <c r="A4" s="697" t="str">
        <f>+Indicadores!A2</f>
        <v>COMPONENTES</v>
      </c>
      <c r="B4" s="698"/>
      <c r="C4" s="699"/>
      <c r="D4" s="699" t="s">
        <v>2</v>
      </c>
      <c r="E4" s="699"/>
      <c r="F4" s="394" t="s">
        <v>131</v>
      </c>
      <c r="G4" s="699" t="s">
        <v>132</v>
      </c>
      <c r="H4" s="699"/>
      <c r="I4" s="699" t="s">
        <v>133</v>
      </c>
      <c r="J4" s="699"/>
      <c r="K4" s="699" t="s">
        <v>134</v>
      </c>
      <c r="L4" s="699"/>
      <c r="M4" s="394" t="s">
        <v>184</v>
      </c>
      <c r="N4" s="395" t="s">
        <v>136</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row>
    <row r="5" spans="1:190" s="396" customFormat="1" ht="15.75">
      <c r="A5" s="700"/>
      <c r="B5" s="701"/>
      <c r="C5" s="702"/>
      <c r="D5" s="702"/>
      <c r="E5" s="702"/>
      <c r="F5" s="372" t="s">
        <v>92</v>
      </c>
      <c r="G5" s="397" t="s">
        <v>92</v>
      </c>
      <c r="H5" s="397" t="s">
        <v>93</v>
      </c>
      <c r="I5" s="397" t="s">
        <v>92</v>
      </c>
      <c r="J5" s="397" t="s">
        <v>93</v>
      </c>
      <c r="K5" s="397" t="s">
        <v>92</v>
      </c>
      <c r="L5" s="397" t="s">
        <v>93</v>
      </c>
      <c r="M5" s="397" t="s">
        <v>92</v>
      </c>
      <c r="N5" s="398" t="s">
        <v>92</v>
      </c>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row>
    <row r="6" spans="1:190" ht="22.5">
      <c r="A6" s="706" t="s">
        <v>145</v>
      </c>
      <c r="B6" s="707" t="s">
        <v>339</v>
      </c>
      <c r="C6" s="613" t="s">
        <v>370</v>
      </c>
      <c r="D6" s="399">
        <f>Indicadores!D4</f>
        <v>1</v>
      </c>
      <c r="E6" s="400" t="str">
        <f>Indicadores!E4</f>
        <v>RAZON DE MUERTE MATERNA</v>
      </c>
      <c r="F6" s="401" t="str">
        <f>'F2'!V8</f>
        <v>Adecuado</v>
      </c>
      <c r="G6" s="401" t="str">
        <f>'F2'!W8</f>
        <v>Adecuado</v>
      </c>
      <c r="H6" s="402" t="str">
        <f>+IF(('F2'!Q8&gt;'F2'!P8),"↑",IF(('F2'!Q8&lt;'F2'!P8),"↓","="))</f>
        <v>=</v>
      </c>
      <c r="I6" s="401">
        <f>'F2'!X8</f>
        <v>0</v>
      </c>
      <c r="J6" s="402" t="str">
        <f>+IF(('F2'!R8&gt;'F2'!Q8),"↑",IF(('F2'!R8&lt;'F2'!Q8),"↓","="))</f>
        <v>=</v>
      </c>
      <c r="K6" s="401">
        <f>'F2'!Y8</f>
        <v>0</v>
      </c>
      <c r="L6" s="402" t="str">
        <f>+IF(('F2'!S8&gt;'F2'!R8),"↑",IF(('F2'!S8&lt;'F2'!R8),"↓","="))</f>
        <v>=</v>
      </c>
      <c r="M6" s="401" t="str">
        <f>'F2'!Z8</f>
        <v>Adecuado</v>
      </c>
      <c r="N6" s="403" t="str">
        <f>'F2'!AA8</f>
        <v>Adecuado</v>
      </c>
    </row>
    <row r="7" spans="1:190" ht="22.5">
      <c r="A7" s="706"/>
      <c r="B7" s="707"/>
      <c r="C7" s="613"/>
      <c r="D7" s="399">
        <f>Indicadores!D5</f>
        <v>2</v>
      </c>
      <c r="E7" s="400" t="str">
        <f>Indicadores!E5</f>
        <v>TASA DE MUERTE NEONATAL</v>
      </c>
      <c r="F7" s="401" t="str">
        <f>'F2'!V9</f>
        <v>Adecuado</v>
      </c>
      <c r="G7" s="401" t="str">
        <f>'F2'!W9</f>
        <v>Adecuado</v>
      </c>
      <c r="H7" s="402" t="str">
        <f>+IF(('F2'!Q9&gt;'F2'!P9),"↑",IF(('F2'!Q9&lt;'F2'!P9),"↓","="))</f>
        <v>=</v>
      </c>
      <c r="I7" s="401">
        <f>'F2'!X9</f>
        <v>0</v>
      </c>
      <c r="J7" s="402" t="str">
        <f>+IF(('F2'!R9&gt;'F2'!Q9),"↑",IF(('F2'!R9&lt;'F2'!Q9),"↓","="))</f>
        <v>=</v>
      </c>
      <c r="K7" s="401">
        <f>'F2'!Y9</f>
        <v>0</v>
      </c>
      <c r="L7" s="402" t="str">
        <f>+IF(('F2'!S9&gt;'F2'!R9),"↑",IF(('F2'!S9&lt;'F2'!R9),"↓","="))</f>
        <v>=</v>
      </c>
      <c r="M7" s="401" t="str">
        <f>'F2'!Z9</f>
        <v>Adecuado</v>
      </c>
      <c r="N7" s="403" t="str">
        <f>'F2'!AA9</f>
        <v>Adecuado</v>
      </c>
    </row>
    <row r="8" spans="1:190" ht="22.5">
      <c r="A8" s="706"/>
      <c r="B8" s="707"/>
      <c r="C8" s="613"/>
      <c r="D8" s="399">
        <f>Indicadores!D6</f>
        <v>3</v>
      </c>
      <c r="E8" s="400" t="str">
        <f>Indicadores!E6</f>
        <v>TASA DE LETALIDAD POR DENGUE</v>
      </c>
      <c r="F8" s="401" t="str">
        <f>'F2'!V10</f>
        <v>Adecuado</v>
      </c>
      <c r="G8" s="401" t="str">
        <f>'F2'!W10</f>
        <v>Adecuado</v>
      </c>
      <c r="H8" s="402" t="str">
        <f>+IF(('F2'!Q10&gt;'F2'!P10),"↑",IF(('F2'!Q10&lt;'F2'!P10),"↓","="))</f>
        <v>=</v>
      </c>
      <c r="I8" s="401">
        <f>'F2'!X10</f>
        <v>0</v>
      </c>
      <c r="J8" s="402" t="str">
        <f>+IF(('F2'!R10&gt;'F2'!Q10),"↑",IF(('F2'!R10&lt;'F2'!Q10),"↓","="))</f>
        <v>=</v>
      </c>
      <c r="K8" s="401">
        <f>'F2'!Y10</f>
        <v>0</v>
      </c>
      <c r="L8" s="402" t="str">
        <f>+IF(('F2'!S10&gt;'F2'!R10),"↑",IF(('F2'!S10&lt;'F2'!R10),"↓","="))</f>
        <v>=</v>
      </c>
      <c r="M8" s="401" t="str">
        <f>'F2'!Z10</f>
        <v>Adecuado</v>
      </c>
      <c r="N8" s="403" t="str">
        <f>'F2'!AA10</f>
        <v>Adecuado</v>
      </c>
    </row>
    <row r="9" spans="1:190" ht="22.5">
      <c r="A9" s="708" t="s">
        <v>96</v>
      </c>
      <c r="B9" s="703" t="s">
        <v>326</v>
      </c>
      <c r="C9" s="615" t="s">
        <v>325</v>
      </c>
      <c r="D9" s="399">
        <f>Indicadores!D7</f>
        <v>4</v>
      </c>
      <c r="E9" s="400" t="str">
        <f>Indicadores!E7</f>
        <v>GESTANTE ATENDIDA PRECOZMENTE</v>
      </c>
      <c r="F9" s="401" t="str">
        <f>'F2'!V11</f>
        <v>Regular</v>
      </c>
      <c r="G9" s="401" t="str">
        <f>'F2'!W11</f>
        <v>Regular</v>
      </c>
      <c r="H9" s="402" t="str">
        <f>+IF(('F2'!Q11&gt;'F2'!P11),"↑",IF(('F2'!Q11&lt;'F2'!P11),"↓","="))</f>
        <v>↓</v>
      </c>
      <c r="I9" s="401">
        <f>'F2'!X11</f>
        <v>0</v>
      </c>
      <c r="J9" s="402" t="str">
        <f>+IF(('F2'!R11&gt;'F2'!Q11),"↑",IF(('F2'!R11&lt;'F2'!Q11),"↓","="))</f>
        <v>↓</v>
      </c>
      <c r="K9" s="401">
        <f>'F2'!Y11</f>
        <v>0</v>
      </c>
      <c r="L9" s="402" t="str">
        <f>+IF(('F2'!S11&gt;'F2'!R11),"↑",IF(('F2'!S11&lt;'F2'!R11),"↓","="))</f>
        <v>=</v>
      </c>
      <c r="M9" s="401" t="str">
        <f>'F2'!Z11</f>
        <v>Regular</v>
      </c>
      <c r="N9" s="403" t="str">
        <f>'F2'!AA11</f>
        <v>Regular</v>
      </c>
    </row>
    <row r="10" spans="1:190" ht="22.5">
      <c r="A10" s="705"/>
      <c r="B10" s="709"/>
      <c r="C10" s="617"/>
      <c r="D10" s="399">
        <f>Indicadores!D8</f>
        <v>5</v>
      </c>
      <c r="E10" s="400" t="str">
        <f>Indicadores!E8</f>
        <v>GESTANTE CON PAQUETE COMPLETO</v>
      </c>
      <c r="F10" s="401" t="str">
        <f>'F2'!V12</f>
        <v>Regular</v>
      </c>
      <c r="G10" s="401" t="str">
        <f>'F2'!W12</f>
        <v>Regular</v>
      </c>
      <c r="H10" s="402" t="str">
        <f>+IF(('F2'!Q12&gt;'F2'!P12),"↑",IF(('F2'!Q12&lt;'F2'!P12),"↓","="))</f>
        <v>↑</v>
      </c>
      <c r="I10" s="401">
        <f>'F2'!X12</f>
        <v>0</v>
      </c>
      <c r="J10" s="402" t="str">
        <f>+IF(('F2'!R12&gt;'F2'!Q12),"↑",IF(('F2'!R12&lt;'F2'!Q12),"↓","="))</f>
        <v>↓</v>
      </c>
      <c r="K10" s="401">
        <f>'F2'!Y12</f>
        <v>0</v>
      </c>
      <c r="L10" s="402" t="str">
        <f>+IF(('F2'!S12&gt;'F2'!R12),"↑",IF(('F2'!S12&lt;'F2'!R12),"↓","="))</f>
        <v>=</v>
      </c>
      <c r="M10" s="401" t="str">
        <f>'F2'!Z12</f>
        <v>Regular</v>
      </c>
      <c r="N10" s="403" t="str">
        <f>'F2'!AA12</f>
        <v>Regular</v>
      </c>
    </row>
    <row r="11" spans="1:190" ht="28.5">
      <c r="A11" s="705"/>
      <c r="B11" s="709"/>
      <c r="C11" s="617"/>
      <c r="D11" s="399">
        <f>Indicadores!D9</f>
        <v>6</v>
      </c>
      <c r="E11" s="400" t="str">
        <f>Indicadores!E9</f>
        <v>PORCENTAJE DE MUJERES EN EDAD FERTIL PROTEGIDAS CON ALGUN  MAC</v>
      </c>
      <c r="F11" s="401" t="str">
        <f>'F2'!V13</f>
        <v>Deficiente</v>
      </c>
      <c r="G11" s="401" t="str">
        <f>'F2'!W13</f>
        <v>Deficiente</v>
      </c>
      <c r="H11" s="402" t="str">
        <f>+IF(('F2'!Q13&gt;'F2'!P13),"↑",IF(('F2'!Q13&lt;'F2'!P13),"↓","="))</f>
        <v>=</v>
      </c>
      <c r="I11" s="401">
        <f>'F2'!X13</f>
        <v>0</v>
      </c>
      <c r="J11" s="402" t="str">
        <f>+IF(('F2'!R13&gt;'F2'!Q13),"↑",IF(('F2'!R13&lt;'F2'!Q13),"↓","="))</f>
        <v>=</v>
      </c>
      <c r="K11" s="401">
        <f>'F2'!Y13</f>
        <v>0</v>
      </c>
      <c r="L11" s="402" t="str">
        <f>+IF(('F2'!S13&gt;'F2'!R13),"↑",IF(('F2'!S13&lt;'F2'!R13),"↓","="))</f>
        <v>=</v>
      </c>
      <c r="M11" s="401" t="str">
        <f>'F2'!Z13</f>
        <v>Deficiente</v>
      </c>
      <c r="N11" s="403" t="str">
        <f>'F2'!AA13</f>
        <v>Deficiente</v>
      </c>
    </row>
    <row r="12" spans="1:190" ht="22.5">
      <c r="A12" s="705"/>
      <c r="B12" s="709"/>
      <c r="C12" s="617"/>
      <c r="D12" s="399">
        <f>Indicadores!D10</f>
        <v>7</v>
      </c>
      <c r="E12" s="400" t="str">
        <f>Indicadores!E10</f>
        <v>COBERTURA DE PARTO INSTITUCIONAL</v>
      </c>
      <c r="F12" s="401" t="str">
        <f>'F2'!V14</f>
        <v>Regular</v>
      </c>
      <c r="G12" s="401" t="str">
        <f>'F2'!W14</f>
        <v>Regular</v>
      </c>
      <c r="H12" s="402" t="str">
        <f>+IF(('F2'!Q14&gt;'F2'!P14),"↑",IF(('F2'!Q14&lt;'F2'!P14),"↓","="))</f>
        <v>↑</v>
      </c>
      <c r="I12" s="401">
        <f>'F2'!X14</f>
        <v>0</v>
      </c>
      <c r="J12" s="402" t="str">
        <f>+IF(('F2'!R14&gt;'F2'!Q14),"↑",IF(('F2'!R14&lt;'F2'!Q14),"↓","="))</f>
        <v>↓</v>
      </c>
      <c r="K12" s="401">
        <f>'F2'!Y14</f>
        <v>0</v>
      </c>
      <c r="L12" s="402" t="str">
        <f>+IF(('F2'!S14&gt;'F2'!R14),"↑",IF(('F2'!S14&lt;'F2'!R14),"↓","="))</f>
        <v>=</v>
      </c>
      <c r="M12" s="401" t="str">
        <f>'F2'!Z14</f>
        <v>Regular</v>
      </c>
      <c r="N12" s="403" t="str">
        <f>'F2'!AA14</f>
        <v>Regular</v>
      </c>
    </row>
    <row r="13" spans="1:190" ht="28.5">
      <c r="A13" s="705"/>
      <c r="B13" s="704"/>
      <c r="C13" s="616"/>
      <c r="D13" s="399">
        <f>Indicadores!D11</f>
        <v>8</v>
      </c>
      <c r="E13" s="400" t="str">
        <f>Indicadores!E11</f>
        <v>PORCENTAJE DE MUJERES DE 25 A 64 AÑOS QUE SE HAN REALIZADO TAMIZAJE DE PAP O IVVA</v>
      </c>
      <c r="F13" s="401" t="str">
        <f>'F2'!V15</f>
        <v>Deficiente</v>
      </c>
      <c r="G13" s="401" t="str">
        <f>'F2'!W15</f>
        <v>Deficiente</v>
      </c>
      <c r="H13" s="402" t="str">
        <f>+IF(('F2'!Q15&gt;'F2'!P15),"↑",IF(('F2'!Q15&lt;'F2'!P15),"↓","="))</f>
        <v>=</v>
      </c>
      <c r="I13" s="401">
        <f>'F2'!X15</f>
        <v>0</v>
      </c>
      <c r="J13" s="402" t="str">
        <f>+IF(('F2'!R15&gt;'F2'!Q15),"↑",IF(('F2'!R15&lt;'F2'!Q15),"↓","="))</f>
        <v>=</v>
      </c>
      <c r="K13" s="401">
        <f>'F2'!Y15</f>
        <v>0</v>
      </c>
      <c r="L13" s="402" t="str">
        <f>+IF(('F2'!S15&gt;'F2'!R15),"↑",IF(('F2'!S15&lt;'F2'!R15),"↓","="))</f>
        <v>=</v>
      </c>
      <c r="M13" s="401" t="str">
        <f>'F2'!Z15</f>
        <v>Deficiente</v>
      </c>
      <c r="N13" s="403" t="str">
        <f>'F2'!AA15</f>
        <v>Deficiente</v>
      </c>
    </row>
    <row r="14" spans="1:190" ht="22.5">
      <c r="A14" s="705"/>
      <c r="B14" s="707" t="s">
        <v>15</v>
      </c>
      <c r="C14" s="613" t="s">
        <v>366</v>
      </c>
      <c r="D14" s="399">
        <f>Indicadores!D12</f>
        <v>9</v>
      </c>
      <c r="E14" s="400" t="str">
        <f>Indicadores!E12</f>
        <v>RECIEN NACIDO CON VACUNAS COMPLETAS</v>
      </c>
      <c r="F14" s="401" t="str">
        <f>'F2'!V16</f>
        <v>Deficiente</v>
      </c>
      <c r="G14" s="401" t="str">
        <f>'F2'!W16</f>
        <v>Deficiente</v>
      </c>
      <c r="H14" s="402" t="str">
        <f>+IF(('F2'!Q16&gt;'F2'!P16),"↑",IF(('F2'!Q16&lt;'F2'!P16),"↓","="))</f>
        <v>↓</v>
      </c>
      <c r="I14" s="401">
        <f>'F2'!X16</f>
        <v>0</v>
      </c>
      <c r="J14" s="402" t="str">
        <f>+IF(('F2'!R16&gt;'F2'!Q16),"↑",IF(('F2'!R16&lt;'F2'!Q16),"↓","="))</f>
        <v>↓</v>
      </c>
      <c r="K14" s="401">
        <f>'F2'!Y16</f>
        <v>0</v>
      </c>
      <c r="L14" s="402" t="str">
        <f>+IF(('F2'!S16&gt;'F2'!R16),"↑",IF(('F2'!S16&lt;'F2'!R16),"↓","="))</f>
        <v>=</v>
      </c>
      <c r="M14" s="401" t="str">
        <f>'F2'!Z16</f>
        <v>Deficiente</v>
      </c>
      <c r="N14" s="403" t="str">
        <f>'F2'!AA16</f>
        <v>Deficiente</v>
      </c>
    </row>
    <row r="15" spans="1:190" ht="22.5">
      <c r="A15" s="705"/>
      <c r="B15" s="707"/>
      <c r="C15" s="613"/>
      <c r="D15" s="399">
        <f>Indicadores!D13</f>
        <v>10</v>
      </c>
      <c r="E15" s="400" t="str">
        <f>Indicadores!E13</f>
        <v>NIÑO MENOR DE 1 AÑO CON VACUNAS COMPLETAS</v>
      </c>
      <c r="F15" s="401" t="str">
        <f>'F2'!V17</f>
        <v>Deficiente</v>
      </c>
      <c r="G15" s="401" t="str">
        <f>'F2'!W17</f>
        <v>Deficiente</v>
      </c>
      <c r="H15" s="402" t="str">
        <f>+IF(('F2'!Q17&gt;'F2'!P17),"↑",IF(('F2'!Q17&lt;'F2'!P17),"↓","="))</f>
        <v>↓</v>
      </c>
      <c r="I15" s="401">
        <f>'F2'!X17</f>
        <v>0</v>
      </c>
      <c r="J15" s="402" t="str">
        <f>+IF(('F2'!R17&gt;'F2'!Q17),"↑",IF(('F2'!R17&lt;'F2'!Q17),"↓","="))</f>
        <v>↓</v>
      </c>
      <c r="K15" s="401">
        <f>'F2'!Y17</f>
        <v>0</v>
      </c>
      <c r="L15" s="402" t="str">
        <f>+IF(('F2'!S17&gt;'F2'!R17),"↑",IF(('F2'!S17&lt;'F2'!R17),"↓","="))</f>
        <v>=</v>
      </c>
      <c r="M15" s="401" t="str">
        <f>'F2'!Z17</f>
        <v>Deficiente</v>
      </c>
      <c r="N15" s="403" t="str">
        <f>'F2'!AA17</f>
        <v>Deficiente</v>
      </c>
    </row>
    <row r="16" spans="1:190" ht="22.5">
      <c r="A16" s="705"/>
      <c r="B16" s="707"/>
      <c r="C16" s="613"/>
      <c r="D16" s="399">
        <f>Indicadores!D14</f>
        <v>11</v>
      </c>
      <c r="E16" s="400" t="str">
        <f>Indicadores!E14</f>
        <v>NIÑO DE 12 MESES CON VACUNA COMPLETAS</v>
      </c>
      <c r="F16" s="401" t="str">
        <f>'F2'!V18</f>
        <v>Deficiente</v>
      </c>
      <c r="G16" s="401" t="str">
        <f>'F2'!W18</f>
        <v>Deficiente</v>
      </c>
      <c r="H16" s="402" t="str">
        <f>+IF(('F2'!Q18&gt;'F2'!P18),"↑",IF(('F2'!Q18&lt;'F2'!P18),"↓","="))</f>
        <v>↓</v>
      </c>
      <c r="I16" s="401">
        <f>'F2'!X18</f>
        <v>0</v>
      </c>
      <c r="J16" s="402" t="str">
        <f>+IF(('F2'!R18&gt;'F2'!Q18),"↑",IF(('F2'!R18&lt;'F2'!Q18),"↓","="))</f>
        <v>↓</v>
      </c>
      <c r="K16" s="401">
        <f>'F2'!Y18</f>
        <v>0</v>
      </c>
      <c r="L16" s="402" t="str">
        <f>+IF(('F2'!S18&gt;'F2'!R18),"↑",IF(('F2'!S18&lt;'F2'!R18),"↓","="))</f>
        <v>=</v>
      </c>
      <c r="M16" s="401" t="str">
        <f>'F2'!Z18</f>
        <v>Deficiente</v>
      </c>
      <c r="N16" s="403" t="str">
        <f>'F2'!AA18</f>
        <v>Deficiente</v>
      </c>
    </row>
    <row r="17" spans="1:14" ht="22.5">
      <c r="A17" s="705"/>
      <c r="B17" s="707"/>
      <c r="C17" s="613"/>
      <c r="D17" s="399">
        <f>Indicadores!D15</f>
        <v>12</v>
      </c>
      <c r="E17" s="400" t="str">
        <f>Indicadores!E15</f>
        <v>COBERTURA DE CRED EN MENORES DE 1 AÑOS.</v>
      </c>
      <c r="F17" s="401" t="str">
        <f>'F2'!V19</f>
        <v>Regular</v>
      </c>
      <c r="G17" s="401" t="str">
        <f>'F2'!W19</f>
        <v>Regular</v>
      </c>
      <c r="H17" s="402" t="str">
        <f>+IF(('F2'!Q19&gt;'F2'!P19),"↑",IF(('F2'!Q19&lt;'F2'!P19),"↓","="))</f>
        <v>↓</v>
      </c>
      <c r="I17" s="401">
        <f>'F2'!X19</f>
        <v>0</v>
      </c>
      <c r="J17" s="402" t="str">
        <f>+IF(('F2'!R19&gt;'F2'!Q19),"↑",IF(('F2'!R19&lt;'F2'!Q19),"↓","="))</f>
        <v>↓</v>
      </c>
      <c r="K17" s="401">
        <f>'F2'!Y19</f>
        <v>0</v>
      </c>
      <c r="L17" s="402" t="str">
        <f>+IF(('F2'!S19&gt;'F2'!R19),"↑",IF(('F2'!S19&lt;'F2'!R19),"↓","="))</f>
        <v>=</v>
      </c>
      <c r="M17" s="401" t="str">
        <f>'F2'!Z19</f>
        <v>Regular</v>
      </c>
      <c r="N17" s="403" t="str">
        <f>'F2'!AA19</f>
        <v>Regular</v>
      </c>
    </row>
    <row r="18" spans="1:14" ht="28.5">
      <c r="A18" s="705"/>
      <c r="B18" s="707"/>
      <c r="C18" s="613"/>
      <c r="D18" s="399">
        <f>Indicadores!D16</f>
        <v>13</v>
      </c>
      <c r="E18" s="400" t="str">
        <f>Indicadores!E16</f>
        <v>PORCENTAJE DE NIÑO MENOR DE 3 AÑOS CON DIAGNOSTICO DE ANEMIA QUE SE HAN RECUPERADO</v>
      </c>
      <c r="F18" s="401" t="str">
        <f>'F2'!V20</f>
        <v>Adecuado</v>
      </c>
      <c r="G18" s="401" t="str">
        <f>'F2'!W20</f>
        <v>Adecuado</v>
      </c>
      <c r="H18" s="402" t="str">
        <f>+IF(('F2'!Q20&gt;'F2'!P20),"↑",IF(('F2'!Q20&lt;'F2'!P20),"↓","="))</f>
        <v>↑</v>
      </c>
      <c r="I18" s="401">
        <f>'F2'!X20</f>
        <v>0</v>
      </c>
      <c r="J18" s="402" t="str">
        <f>+IF(('F2'!R20&gt;'F2'!Q20),"↑",IF(('F2'!R20&lt;'F2'!Q20),"↓","="))</f>
        <v>↓</v>
      </c>
      <c r="K18" s="401">
        <f>'F2'!Y20</f>
        <v>0</v>
      </c>
      <c r="L18" s="402" t="str">
        <f>+IF(('F2'!S20&gt;'F2'!R20),"↑",IF(('F2'!S20&lt;'F2'!R20),"↓","="))</f>
        <v>=</v>
      </c>
      <c r="M18" s="401" t="str">
        <f>'F2'!Z20</f>
        <v>Adecuado</v>
      </c>
      <c r="N18" s="403" t="str">
        <f>'F2'!AA20</f>
        <v>Adecuado</v>
      </c>
    </row>
    <row r="19" spans="1:14" ht="22.5">
      <c r="A19" s="705"/>
      <c r="B19" s="707" t="s">
        <v>353</v>
      </c>
      <c r="C19" s="613" t="s">
        <v>354</v>
      </c>
      <c r="D19" s="399">
        <f>Indicadores!D17</f>
        <v>14</v>
      </c>
      <c r="E19" s="400" t="str">
        <f>Indicadores!E17</f>
        <v>ADOLESCENTE CON PAQUETE COMPLETO</v>
      </c>
      <c r="F19" s="401" t="str">
        <f>'F2'!V21</f>
        <v>Deficiente</v>
      </c>
      <c r="G19" s="401" t="str">
        <f>'F2'!W21</f>
        <v>Deficiente</v>
      </c>
      <c r="H19" s="402" t="str">
        <f>+IF(('F2'!Q21&gt;'F2'!P21),"↑",IF(('F2'!Q21&lt;'F2'!P21),"↓","="))</f>
        <v>=</v>
      </c>
      <c r="I19" s="401">
        <f>'F2'!X21</f>
        <v>0</v>
      </c>
      <c r="J19" s="402" t="str">
        <f>+IF(('F2'!R21&gt;'F2'!Q21),"↑",IF(('F2'!R21&lt;'F2'!Q21),"↓","="))</f>
        <v>=</v>
      </c>
      <c r="K19" s="401">
        <f>'F2'!Y21</f>
        <v>0</v>
      </c>
      <c r="L19" s="402" t="str">
        <f>+IF(('F2'!S21&gt;'F2'!R21),"↑",IF(('F2'!S21&lt;'F2'!R21),"↓","="))</f>
        <v>=</v>
      </c>
      <c r="M19" s="401" t="str">
        <f>'F2'!Z21</f>
        <v>Deficiente</v>
      </c>
      <c r="N19" s="403" t="str">
        <f>'F2'!AA21</f>
        <v>Deficiente</v>
      </c>
    </row>
    <row r="20" spans="1:14" ht="22.5">
      <c r="A20" s="705"/>
      <c r="B20" s="707"/>
      <c r="C20" s="613"/>
      <c r="D20" s="399">
        <f>Indicadores!D18</f>
        <v>15</v>
      </c>
      <c r="E20" s="400" t="str">
        <f>Indicadores!E18</f>
        <v>ADULTO CON PAQUETE DE ATENCION INTEGRAL</v>
      </c>
      <c r="F20" s="401" t="str">
        <f>'F2'!V22</f>
        <v>Deficiente</v>
      </c>
      <c r="G20" s="401" t="str">
        <f>'F2'!W22</f>
        <v>Deficiente</v>
      </c>
      <c r="H20" s="402" t="str">
        <f>+IF(('F2'!Q22&gt;'F2'!P22),"↑",IF(('F2'!Q22&lt;'F2'!P22),"↓","="))</f>
        <v>=</v>
      </c>
      <c r="I20" s="401">
        <f>'F2'!X22</f>
        <v>0</v>
      </c>
      <c r="J20" s="402" t="str">
        <f>+IF(('F2'!R22&gt;'F2'!Q22),"↑",IF(('F2'!R22&lt;'F2'!Q22),"↓","="))</f>
        <v>=</v>
      </c>
      <c r="K20" s="401">
        <f>'F2'!Y22</f>
        <v>0</v>
      </c>
      <c r="L20" s="402" t="str">
        <f>+IF(('F2'!S22&gt;'F2'!R22),"↑",IF(('F2'!S22&lt;'F2'!R22),"↓","="))</f>
        <v>=</v>
      </c>
      <c r="M20" s="401" t="str">
        <f>'F2'!Z22</f>
        <v>Deficiente</v>
      </c>
      <c r="N20" s="403" t="str">
        <f>'F2'!AA22</f>
        <v>Deficiente</v>
      </c>
    </row>
    <row r="21" spans="1:14" ht="22.5">
      <c r="A21" s="705"/>
      <c r="B21" s="707"/>
      <c r="C21" s="613"/>
      <c r="D21" s="399">
        <f>Indicadores!D19</f>
        <v>16</v>
      </c>
      <c r="E21" s="400" t="str">
        <f>Indicadores!E19</f>
        <v>ADULTO MAYOR CON PAQUETE DE ATENCION INTEGRAL</v>
      </c>
      <c r="F21" s="401" t="str">
        <f>'F2'!V23</f>
        <v>Deficiente</v>
      </c>
      <c r="G21" s="401" t="str">
        <f>'F2'!W23</f>
        <v>Deficiente</v>
      </c>
      <c r="H21" s="402" t="str">
        <f>+IF(('F2'!Q23&gt;'F2'!P23),"↑",IF(('F2'!Q23&lt;'F2'!P23),"↓","="))</f>
        <v>=</v>
      </c>
      <c r="I21" s="401">
        <f>'F2'!X23</f>
        <v>0</v>
      </c>
      <c r="J21" s="402" t="str">
        <f>+IF(('F2'!R23&gt;'F2'!Q23),"↑",IF(('F2'!R23&lt;'F2'!Q23),"↓","="))</f>
        <v>=</v>
      </c>
      <c r="K21" s="401">
        <f>'F2'!Y23</f>
        <v>0</v>
      </c>
      <c r="L21" s="402" t="str">
        <f>+IF(('F2'!S23&gt;'F2'!R23),"↑",IF(('F2'!S23&lt;'F2'!R23),"↓","="))</f>
        <v>=</v>
      </c>
      <c r="M21" s="401" t="str">
        <f>'F2'!Z23</f>
        <v>Deficiente</v>
      </c>
      <c r="N21" s="403" t="str">
        <f>'F2'!AA23</f>
        <v>Deficiente</v>
      </c>
    </row>
    <row r="22" spans="1:14" ht="42.75">
      <c r="A22" s="705"/>
      <c r="B22" s="707" t="s">
        <v>327</v>
      </c>
      <c r="C22" s="613" t="s">
        <v>367</v>
      </c>
      <c r="D22" s="399">
        <f>Indicadores!D20</f>
        <v>17</v>
      </c>
      <c r="E22" s="400" t="str">
        <f>Indicadores!E20</f>
        <v>PORCENTAJE DE PERSONAS DE 18 AÑOS A MÁS CON DIAGNOSTICO DE DIABETES MELLITUS TIPO 2 NO COMPLICADOS CONTROLADOS</v>
      </c>
      <c r="F22" s="401" t="str">
        <f>'F2'!V24</f>
        <v>Deficiente</v>
      </c>
      <c r="G22" s="401" t="str">
        <f>'F2'!W24</f>
        <v>Deficiente</v>
      </c>
      <c r="H22" s="402" t="str">
        <f>+IF(('F2'!Q24&gt;'F2'!P24),"↑",IF(('F2'!Q24&lt;'F2'!P24),"↓","="))</f>
        <v>=</v>
      </c>
      <c r="I22" s="401">
        <f>'F2'!X24</f>
        <v>0</v>
      </c>
      <c r="J22" s="402" t="str">
        <f>+IF(('F2'!R24&gt;'F2'!Q24),"↑",IF(('F2'!R24&lt;'F2'!Q24),"↓","="))</f>
        <v>=</v>
      </c>
      <c r="K22" s="401">
        <f>'F2'!Y24</f>
        <v>0</v>
      </c>
      <c r="L22" s="402" t="str">
        <f>+IF(('F2'!S24&gt;'F2'!R24),"↑",IF(('F2'!S24&lt;'F2'!R24),"↓","="))</f>
        <v>=</v>
      </c>
      <c r="M22" s="401" t="str">
        <f>'F2'!Z24</f>
        <v>Deficiente</v>
      </c>
      <c r="N22" s="403" t="str">
        <f>'F2'!AA24</f>
        <v>Deficiente</v>
      </c>
    </row>
    <row r="23" spans="1:14" ht="42.75">
      <c r="A23" s="705"/>
      <c r="B23" s="707"/>
      <c r="C23" s="613"/>
      <c r="D23" s="399">
        <f>Indicadores!D21</f>
        <v>18</v>
      </c>
      <c r="E23" s="400" t="str">
        <f>Indicadores!E21</f>
        <v>PORCENTAJE DE PERSONAS DE 18 AÑOS A MÁS CON DIAGNOSTICO DE HIPERTENSION ARTERIAL NO COMPLICADOS CONTROLADOS</v>
      </c>
      <c r="F23" s="401" t="str">
        <f>'F2'!V25</f>
        <v>Deficiente</v>
      </c>
      <c r="G23" s="401" t="str">
        <f>'F2'!W25</f>
        <v>Deficiente</v>
      </c>
      <c r="H23" s="402" t="str">
        <f>+IF(('F2'!Q25&gt;'F2'!P25),"↑",IF(('F2'!Q25&lt;'F2'!P25),"↓","="))</f>
        <v>=</v>
      </c>
      <c r="I23" s="401">
        <f>'F2'!X25</f>
        <v>0</v>
      </c>
      <c r="J23" s="402" t="str">
        <f>+IF(('F2'!R25&gt;'F2'!Q25),"↑",IF(('F2'!R25&lt;'F2'!Q25),"↓","="))</f>
        <v>=</v>
      </c>
      <c r="K23" s="401">
        <f>'F2'!Y25</f>
        <v>0</v>
      </c>
      <c r="L23" s="402" t="str">
        <f>+IF(('F2'!S25&gt;'F2'!R25),"↑",IF(('F2'!S25&lt;'F2'!R25),"↓","="))</f>
        <v>=</v>
      </c>
      <c r="M23" s="401" t="str">
        <f>'F2'!Z25</f>
        <v>Deficiente</v>
      </c>
      <c r="N23" s="403" t="str">
        <f>'F2'!AA25</f>
        <v>Deficiente</v>
      </c>
    </row>
    <row r="24" spans="1:14" ht="28.5">
      <c r="A24" s="705"/>
      <c r="B24" s="707"/>
      <c r="C24" s="613"/>
      <c r="D24" s="399">
        <f>Indicadores!D22</f>
        <v>19</v>
      </c>
      <c r="E24" s="400" t="str">
        <f>Indicadores!E22</f>
        <v>PORCENTAJE DE NIÑOS Y NIÑAS DE 3 A 11 AÑOS DE EDAD CON ALTA BASICA ODONTOLOGICA</v>
      </c>
      <c r="F24" s="401" t="str">
        <f>'F2'!V26</f>
        <v>Deficiente</v>
      </c>
      <c r="G24" s="401" t="str">
        <f>'F2'!W26</f>
        <v>Deficiente</v>
      </c>
      <c r="H24" s="402" t="str">
        <f>+IF(('F2'!Q26&gt;'F2'!P26),"↑",IF(('F2'!Q26&lt;'F2'!P26),"↓","="))</f>
        <v>=</v>
      </c>
      <c r="I24" s="401">
        <f>'F2'!X26</f>
        <v>0</v>
      </c>
      <c r="J24" s="402" t="str">
        <f>+IF(('F2'!R26&gt;'F2'!Q26),"↑",IF(('F2'!R26&lt;'F2'!Q26),"↓","="))</f>
        <v>=</v>
      </c>
      <c r="K24" s="401">
        <f>'F2'!Y26</f>
        <v>0</v>
      </c>
      <c r="L24" s="402" t="str">
        <f>+IF(('F2'!S26&gt;'F2'!R26),"↑",IF(('F2'!S26&lt;'F2'!R26),"↓","="))</f>
        <v>=</v>
      </c>
      <c r="M24" s="401" t="str">
        <f>'F2'!Z26</f>
        <v>Deficiente</v>
      </c>
      <c r="N24" s="403" t="str">
        <f>'F2'!AA26</f>
        <v>Deficiente</v>
      </c>
    </row>
    <row r="25" spans="1:14" ht="28.5">
      <c r="A25" s="705"/>
      <c r="B25" s="707"/>
      <c r="C25" s="613"/>
      <c r="D25" s="399">
        <f>Indicadores!D23</f>
        <v>20</v>
      </c>
      <c r="E25" s="400" t="str">
        <f>Indicadores!E23</f>
        <v>TAMIZAJE DE CATARATAS MEDIANTE EXAMEN DE AGUDEZA VISUAL EN PERSONAS DE 50 AÑOS A MAS</v>
      </c>
      <c r="F25" s="401" t="str">
        <f>'F2'!V27</f>
        <v>Deficiente</v>
      </c>
      <c r="G25" s="401" t="str">
        <f>'F2'!W27</f>
        <v>Deficiente</v>
      </c>
      <c r="H25" s="402" t="str">
        <f>+IF(('F2'!Q27&gt;'F2'!P27),"↑",IF(('F2'!Q27&lt;'F2'!P27),"↓","="))</f>
        <v>=</v>
      </c>
      <c r="I25" s="401">
        <f>'F2'!X27</f>
        <v>0</v>
      </c>
      <c r="J25" s="402" t="str">
        <f>+IF(('F2'!R27&gt;'F2'!Q27),"↑",IF(('F2'!R27&lt;'F2'!Q27),"↓","="))</f>
        <v>=</v>
      </c>
      <c r="K25" s="401">
        <f>'F2'!Y27</f>
        <v>0</v>
      </c>
      <c r="L25" s="402" t="str">
        <f>+IF(('F2'!S27&gt;'F2'!R27),"↑",IF(('F2'!S27&lt;'F2'!R27),"↓","="))</f>
        <v>=</v>
      </c>
      <c r="M25" s="401" t="str">
        <f>'F2'!Z27</f>
        <v>Deficiente</v>
      </c>
      <c r="N25" s="403" t="str">
        <f>'F2'!AA27</f>
        <v>Deficiente</v>
      </c>
    </row>
    <row r="26" spans="1:14" ht="28.5">
      <c r="A26" s="705"/>
      <c r="B26" s="707"/>
      <c r="C26" s="613"/>
      <c r="D26" s="399">
        <f>Indicadores!D24</f>
        <v>21</v>
      </c>
      <c r="E26" s="400" t="str">
        <f>Indicadores!E24</f>
        <v>PERSONAS TAMIZADAS CON TRASTORNOS MENTALES Y PROBLEMAS PSICOSOCIALES</v>
      </c>
      <c r="F26" s="401" t="str">
        <f>'F2'!V28</f>
        <v>Deficiente</v>
      </c>
      <c r="G26" s="401" t="str">
        <f>'F2'!W28</f>
        <v>Deficiente</v>
      </c>
      <c r="H26" s="402" t="str">
        <f>+IF(('F2'!Q28&gt;'F2'!P28),"↑",IF(('F2'!Q28&lt;'F2'!P28),"↓","="))</f>
        <v>=</v>
      </c>
      <c r="I26" s="401">
        <f>'F2'!X28</f>
        <v>0</v>
      </c>
      <c r="J26" s="402" t="str">
        <f>+IF(('F2'!R28&gt;'F2'!Q28),"↑",IF(('F2'!R28&lt;'F2'!Q28),"↓","="))</f>
        <v>=</v>
      </c>
      <c r="K26" s="401">
        <f>'F2'!Y28</f>
        <v>0</v>
      </c>
      <c r="L26" s="402" t="str">
        <f>+IF(('F2'!S28&gt;'F2'!R28),"↑",IF(('F2'!S28&lt;'F2'!R28),"↓","="))</f>
        <v>=</v>
      </c>
      <c r="M26" s="401" t="str">
        <f>'F2'!Z28</f>
        <v>Deficiente</v>
      </c>
      <c r="N26" s="403" t="str">
        <f>'F2'!AA28</f>
        <v>Deficiente</v>
      </c>
    </row>
    <row r="27" spans="1:14" ht="28.5">
      <c r="A27" s="705"/>
      <c r="B27" s="707"/>
      <c r="C27" s="613"/>
      <c r="D27" s="399">
        <f>Indicadores!D25</f>
        <v>22</v>
      </c>
      <c r="E27" s="400" t="str">
        <f>Indicadores!E25</f>
        <v>PERSONAS CON TRASTORNOS MENTALES Y PROBLEMAS PSICOSOCIALES DETECTADAS</v>
      </c>
      <c r="F27" s="401" t="str">
        <f>'F2'!V29</f>
        <v>Deficiente</v>
      </c>
      <c r="G27" s="401" t="str">
        <f>'F2'!W29</f>
        <v>Deficiente</v>
      </c>
      <c r="H27" s="402" t="str">
        <f>+IF(('F2'!Q29&gt;'F2'!P29),"↑",IF(('F2'!Q29&lt;'F2'!P29),"↓","="))</f>
        <v>=</v>
      </c>
      <c r="I27" s="401">
        <f>'F2'!X29</f>
        <v>0</v>
      </c>
      <c r="J27" s="402" t="str">
        <f>+IF(('F2'!R29&gt;'F2'!Q29),"↑",IF(('F2'!R29&lt;'F2'!Q29),"↓","="))</f>
        <v>=</v>
      </c>
      <c r="K27" s="401">
        <f>'F2'!Y29</f>
        <v>0</v>
      </c>
      <c r="L27" s="402" t="str">
        <f>+IF(('F2'!S29&gt;'F2'!R29),"↑",IF(('F2'!S29&lt;'F2'!R29),"↓","="))</f>
        <v>=</v>
      </c>
      <c r="M27" s="401" t="str">
        <f>'F2'!Z29</f>
        <v>Deficiente</v>
      </c>
      <c r="N27" s="403" t="str">
        <f>'F2'!AA29</f>
        <v>Deficiente</v>
      </c>
    </row>
    <row r="28" spans="1:14" ht="28.5">
      <c r="A28" s="705"/>
      <c r="B28" s="707" t="s">
        <v>209</v>
      </c>
      <c r="C28" s="613" t="s">
        <v>368</v>
      </c>
      <c r="D28" s="399">
        <f>Indicadores!D26</f>
        <v>23</v>
      </c>
      <c r="E28" s="400" t="str">
        <f>Indicadores!E26</f>
        <v xml:space="preserve">PORCENTAJE DE SINTOMATICOS RESPIRATORIOS MAYOR A 15 AÑOS CON BACILOSCOPIA </v>
      </c>
      <c r="F28" s="401" t="str">
        <f>'F2'!V30</f>
        <v>Deficiente</v>
      </c>
      <c r="G28" s="401" t="str">
        <f>'F2'!W30</f>
        <v>Deficiente</v>
      </c>
      <c r="H28" s="402" t="str">
        <f>+IF(('F2'!Q30&gt;'F2'!P30),"↑",IF(('F2'!Q30&lt;'F2'!P30),"↓","="))</f>
        <v>=</v>
      </c>
      <c r="I28" s="401">
        <f>'F2'!X30</f>
        <v>0</v>
      </c>
      <c r="J28" s="402" t="str">
        <f>+IF(('F2'!R30&gt;'F2'!Q30),"↑",IF(('F2'!R30&lt;'F2'!Q30),"↓","="))</f>
        <v>=</v>
      </c>
      <c r="K28" s="401">
        <f>'F2'!Y30</f>
        <v>0</v>
      </c>
      <c r="L28" s="402" t="str">
        <f>+IF(('F2'!S30&gt;'F2'!R30),"↑",IF(('F2'!S30&lt;'F2'!R30),"↓","="))</f>
        <v>=</v>
      </c>
      <c r="M28" s="401" t="str">
        <f>'F2'!Z30</f>
        <v>Deficiente</v>
      </c>
      <c r="N28" s="403" t="str">
        <f>'F2'!AA30</f>
        <v>Deficiente</v>
      </c>
    </row>
    <row r="29" spans="1:14" ht="28.5">
      <c r="A29" s="705"/>
      <c r="B29" s="707"/>
      <c r="C29" s="613"/>
      <c r="D29" s="399">
        <f>Indicadores!D27</f>
        <v>24</v>
      </c>
      <c r="E29" s="400" t="str">
        <f>Indicadores!E27</f>
        <v>% HOMBRES QUE TIENEN SEXO CON HOMBRES (HSH) QUE SON TAMIZADOS PARA VIH DE UNA POBLACION ESTIMADA</v>
      </c>
      <c r="F29" s="401" t="str">
        <f>'F2'!V31</f>
        <v>Deficiente</v>
      </c>
      <c r="G29" s="401" t="str">
        <f>'F2'!W31</f>
        <v>Deficiente</v>
      </c>
      <c r="H29" s="402" t="str">
        <f>+IF(('F2'!Q31&gt;'F2'!P31),"↑",IF(('F2'!Q31&lt;'F2'!P31),"↓","="))</f>
        <v>=</v>
      </c>
      <c r="I29" s="401">
        <f>'F2'!X31</f>
        <v>0</v>
      </c>
      <c r="J29" s="402" t="str">
        <f>+IF(('F2'!R31&gt;'F2'!Q31),"↑",IF(('F2'!R31&lt;'F2'!Q31),"↓","="))</f>
        <v>=</v>
      </c>
      <c r="K29" s="401">
        <f>'F2'!Y31</f>
        <v>0</v>
      </c>
      <c r="L29" s="402" t="str">
        <f>+IF(('F2'!S31&gt;'F2'!R31),"↑",IF(('F2'!S31&lt;'F2'!R31),"↓","="))</f>
        <v>=</v>
      </c>
      <c r="M29" s="401" t="str">
        <f>'F2'!Z31</f>
        <v>Deficiente</v>
      </c>
      <c r="N29" s="403" t="str">
        <f>'F2'!AA31</f>
        <v>Deficiente</v>
      </c>
    </row>
    <row r="30" spans="1:14" ht="22.5">
      <c r="A30" s="705"/>
      <c r="B30" s="707"/>
      <c r="C30" s="613"/>
      <c r="D30" s="399">
        <f>Indicadores!D28</f>
        <v>25</v>
      </c>
      <c r="E30" s="400" t="str">
        <f>Indicadores!E28</f>
        <v>VIVIENDA PROTEGIDA CON TRATAMIENTO FOCAL</v>
      </c>
      <c r="F30" s="401" t="str">
        <f>'F2'!V32</f>
        <v>Deficiente</v>
      </c>
      <c r="G30" s="401" t="str">
        <f>'F2'!W32</f>
        <v>Deficiente</v>
      </c>
      <c r="H30" s="402" t="str">
        <f>+IF(('F2'!Q32&gt;'F2'!P32),"↑",IF(('F2'!Q32&lt;'F2'!P32),"↓","="))</f>
        <v>=</v>
      </c>
      <c r="I30" s="401">
        <f>'F2'!X32</f>
        <v>0</v>
      </c>
      <c r="J30" s="402" t="str">
        <f>+IF(('F2'!R32&gt;'F2'!Q32),"↑",IF(('F2'!R32&lt;'F2'!Q32),"↓","="))</f>
        <v>=</v>
      </c>
      <c r="K30" s="401">
        <f>'F2'!Y32</f>
        <v>0</v>
      </c>
      <c r="L30" s="402" t="str">
        <f>+IF(('F2'!S32&gt;'F2'!R32),"↑",IF(('F2'!S32&lt;'F2'!R32),"↓","="))</f>
        <v>=</v>
      </c>
      <c r="M30" s="401" t="str">
        <f>'F2'!Z32</f>
        <v>Deficiente</v>
      </c>
      <c r="N30" s="403" t="str">
        <f>'F2'!AA32</f>
        <v>Deficiente</v>
      </c>
    </row>
    <row r="31" spans="1:14" ht="69">
      <c r="A31" s="705"/>
      <c r="B31" s="373" t="s">
        <v>382</v>
      </c>
      <c r="C31" s="318" t="s">
        <v>382</v>
      </c>
      <c r="D31" s="399">
        <f>Indicadores!D29</f>
        <v>26</v>
      </c>
      <c r="E31" s="400" t="str">
        <f>Indicadores!E29</f>
        <v>COBERURA DE TELEINTERCONSULTAS</v>
      </c>
      <c r="F31" s="401" t="str">
        <f>'F2'!V33</f>
        <v>Deficiente</v>
      </c>
      <c r="G31" s="401" t="str">
        <f>'F2'!W33</f>
        <v>Deficiente</v>
      </c>
      <c r="H31" s="402" t="str">
        <f>+IF(('F2'!Q33&gt;'F2'!P33),"↑",IF(('F2'!Q33&lt;'F2'!P33),"↓","="))</f>
        <v>=</v>
      </c>
      <c r="I31" s="401">
        <f>'F2'!X33</f>
        <v>0</v>
      </c>
      <c r="J31" s="402" t="str">
        <f>+IF(('F2'!R33&gt;'F2'!Q33),"↑",IF(('F2'!R33&lt;'F2'!Q33),"↓","="))</f>
        <v>=</v>
      </c>
      <c r="K31" s="401">
        <f>'F2'!Y33</f>
        <v>0</v>
      </c>
      <c r="L31" s="402" t="str">
        <f>+IF(('F2'!S33&gt;'F2'!R33),"↑",IF(('F2'!S33&lt;'F2'!R33),"↓","="))</f>
        <v>=</v>
      </c>
      <c r="M31" s="401" t="str">
        <f>'F2'!Z33</f>
        <v>Deficiente</v>
      </c>
      <c r="N31" s="403" t="str">
        <f>'F2'!AA33</f>
        <v>Deficiente</v>
      </c>
    </row>
    <row r="32" spans="1:14" ht="95.25">
      <c r="A32" s="705" t="s">
        <v>174</v>
      </c>
      <c r="B32" s="373" t="s">
        <v>72</v>
      </c>
      <c r="C32" s="318" t="s">
        <v>332</v>
      </c>
      <c r="D32" s="399">
        <f>Indicadores!D30</f>
        <v>27</v>
      </c>
      <c r="E32" s="400" t="str">
        <f>Indicadores!E30</f>
        <v>PORCENTAJE DE DISPONIBILIDAD DE MEDICAMENTOS ESENCIALES POR EE.SS</v>
      </c>
      <c r="F32" s="401" t="str">
        <f>'F2'!V34</f>
        <v>Deficiente</v>
      </c>
      <c r="G32" s="401" t="str">
        <f>'F2'!W34</f>
        <v>Deficiente</v>
      </c>
      <c r="H32" s="402" t="str">
        <f>+IF(('F2'!Q34&gt;'F2'!P34),"↑",IF(('F2'!Q34&lt;'F2'!P34),"↓","="))</f>
        <v>=</v>
      </c>
      <c r="I32" s="401">
        <f>'F2'!X34</f>
        <v>0</v>
      </c>
      <c r="J32" s="402" t="str">
        <f>+IF(('F2'!R34&gt;'F2'!Q34),"↑",IF(('F2'!R34&lt;'F2'!Q34),"↓","="))</f>
        <v>=</v>
      </c>
      <c r="K32" s="401">
        <f>'F2'!Y34</f>
        <v>0</v>
      </c>
      <c r="L32" s="402" t="str">
        <f>+IF(('F2'!S34&gt;'F2'!R34),"↑",IF(('F2'!S34&lt;'F2'!R34),"↓","="))</f>
        <v>=</v>
      </c>
      <c r="M32" s="401" t="str">
        <f>'F2'!Z34</f>
        <v>Deficiente</v>
      </c>
      <c r="N32" s="403" t="str">
        <f>'F2'!AA34</f>
        <v>Deficiente</v>
      </c>
    </row>
    <row r="33" spans="1:190" ht="73.5">
      <c r="A33" s="705"/>
      <c r="B33" s="373" t="s">
        <v>182</v>
      </c>
      <c r="C33" s="318" t="s">
        <v>183</v>
      </c>
      <c r="D33" s="399">
        <f>Indicadores!D31</f>
        <v>28</v>
      </c>
      <c r="E33" s="400" t="str">
        <f>Indicadores!E31</f>
        <v xml:space="preserve">PORCENTAJE DE REFERENCIA POR EMERGENCIA SEGÚN PRIORIDAD   I y II </v>
      </c>
      <c r="F33" s="401" t="str">
        <f>'F2'!V35</f>
        <v>Deficiente</v>
      </c>
      <c r="G33" s="401" t="str">
        <f>'F2'!W35</f>
        <v>Deficiente</v>
      </c>
      <c r="H33" s="402" t="str">
        <f>+IF(('F2'!Q35&gt;'F2'!P35),"↑",IF(('F2'!Q35&lt;'F2'!P35),"↓","="))</f>
        <v>=</v>
      </c>
      <c r="I33" s="401">
        <f>'F2'!X35</f>
        <v>0</v>
      </c>
      <c r="J33" s="402" t="str">
        <f>+IF(('F2'!R35&gt;'F2'!Q35),"↑",IF(('F2'!R35&lt;'F2'!Q35),"↓","="))</f>
        <v>=</v>
      </c>
      <c r="K33" s="401">
        <f>'F2'!Y35</f>
        <v>0</v>
      </c>
      <c r="L33" s="402" t="str">
        <f>+IF(('F2'!S35&gt;'F2'!R35),"↑",IF(('F2'!S35&lt;'F2'!R35),"↓","="))</f>
        <v>=</v>
      </c>
      <c r="M33" s="401" t="str">
        <f>'F2'!Z35</f>
        <v>Deficiente</v>
      </c>
      <c r="N33" s="403" t="str">
        <f>'F2'!AA35</f>
        <v>Deficiente</v>
      </c>
    </row>
    <row r="34" spans="1:190" ht="22.5">
      <c r="A34" s="705"/>
      <c r="B34" s="703" t="s">
        <v>369</v>
      </c>
      <c r="C34" s="615" t="s">
        <v>421</v>
      </c>
      <c r="D34" s="399">
        <f>Indicadores!D32</f>
        <v>29</v>
      </c>
      <c r="E34" s="400" t="str">
        <f>Indicadores!E32</f>
        <v>PORCENTAJE DE POBLACION ASEGURADA</v>
      </c>
      <c r="F34" s="401" t="str">
        <f>'F2'!V36</f>
        <v>Deficiente</v>
      </c>
      <c r="G34" s="401" t="str">
        <f>'F2'!W36</f>
        <v>Deficiente</v>
      </c>
      <c r="H34" s="402" t="str">
        <f>+IF(('F2'!Q36&gt;'F2'!P36),"↑",IF(('F2'!Q36&lt;'F2'!P36),"↓","="))</f>
        <v>=</v>
      </c>
      <c r="I34" s="401">
        <f>'F2'!X36</f>
        <v>0</v>
      </c>
      <c r="J34" s="402" t="str">
        <f>+IF(('F2'!R36&gt;'F2'!Q36),"↑",IF(('F2'!R36&lt;'F2'!Q36),"↓","="))</f>
        <v>=</v>
      </c>
      <c r="K34" s="401">
        <f>'F2'!Y36</f>
        <v>0</v>
      </c>
      <c r="L34" s="402" t="str">
        <f>+IF(('F2'!S36&gt;'F2'!R36),"↑",IF(('F2'!S36&lt;'F2'!R36),"↓","="))</f>
        <v>=</v>
      </c>
      <c r="M34" s="401" t="str">
        <f>'F2'!Z36</f>
        <v>Deficiente</v>
      </c>
      <c r="N34" s="403" t="str">
        <f>'F2'!AA36</f>
        <v>Deficiente</v>
      </c>
    </row>
    <row r="35" spans="1:190" ht="22.5">
      <c r="A35" s="705"/>
      <c r="B35" s="704"/>
      <c r="C35" s="616"/>
      <c r="D35" s="399">
        <f>Indicadores!D33</f>
        <v>30</v>
      </c>
      <c r="E35" s="400" t="str">
        <f>Indicadores!E33</f>
        <v xml:space="preserve">PORCENTAJE DE FUAS OBSERVADAS </v>
      </c>
      <c r="F35" s="401" t="str">
        <f>'F2'!V37</f>
        <v>Deficiente</v>
      </c>
      <c r="G35" s="401" t="str">
        <f>'F2'!W37</f>
        <v>Deficiente</v>
      </c>
      <c r="H35" s="402" t="str">
        <f>+IF(('F2'!Q37&gt;'F2'!P37),"↑",IF(('F2'!Q37&lt;'F2'!P37),"↓","="))</f>
        <v>=</v>
      </c>
      <c r="I35" s="401">
        <f>'F2'!X37</f>
        <v>0</v>
      </c>
      <c r="J35" s="402" t="str">
        <f>+IF(('F2'!R37&gt;'F2'!Q37),"↑",IF(('F2'!R37&lt;'F2'!Q37),"↓","="))</f>
        <v>=</v>
      </c>
      <c r="K35" s="401">
        <f>'F2'!Y37</f>
        <v>0</v>
      </c>
      <c r="L35" s="402" t="str">
        <f>+IF(('F2'!S37&gt;'F2'!R37),"↑",IF(('F2'!S37&lt;'F2'!R37),"↓","="))</f>
        <v>=</v>
      </c>
      <c r="M35" s="401" t="str">
        <f>'F2'!Z37</f>
        <v>Deficiente</v>
      </c>
      <c r="N35" s="403" t="str">
        <f>'F2'!AA37</f>
        <v>Deficiente</v>
      </c>
    </row>
    <row r="36" spans="1:190" ht="13.5" thickBot="1">
      <c r="A36" s="404"/>
      <c r="B36" s="404"/>
      <c r="C36" s="404"/>
      <c r="D36" s="404"/>
      <c r="E36" s="404"/>
      <c r="F36" s="405"/>
      <c r="G36" s="1"/>
      <c r="H36" s="1"/>
      <c r="I36" s="1"/>
      <c r="J36" s="1"/>
      <c r="K36" s="1"/>
      <c r="L36" s="1"/>
      <c r="M36" s="1"/>
      <c r="N36" s="1"/>
    </row>
    <row r="37" spans="1:190" ht="18">
      <c r="A37" s="711" t="s">
        <v>43</v>
      </c>
      <c r="B37" s="712"/>
      <c r="C37" s="712"/>
      <c r="D37" s="713"/>
      <c r="E37" s="406" t="str">
        <f>+'F2'!U38</f>
        <v>ADECUADO</v>
      </c>
      <c r="F37" s="407">
        <f>COUNTIF(F6:F35,"Adecuado")</f>
        <v>4</v>
      </c>
      <c r="G37" s="408">
        <f>COUNTIF(G6:G35,"Adecuado")</f>
        <v>4</v>
      </c>
      <c r="H37" s="409"/>
      <c r="I37" s="410">
        <f>COUNTIF(I6:I35,"Adecuado")</f>
        <v>0</v>
      </c>
      <c r="J37" s="409"/>
      <c r="K37" s="411">
        <f>COUNTIF(K6:K35,"Adecuado")</f>
        <v>0</v>
      </c>
      <c r="L37" s="409"/>
      <c r="M37" s="408">
        <f>COUNTIF(M6:M35,"Adecuado")</f>
        <v>4</v>
      </c>
      <c r="N37" s="412">
        <f>COUNTIF(N6:N35,"Adecuado")</f>
        <v>4</v>
      </c>
    </row>
    <row r="38" spans="1:190" s="6" customFormat="1" ht="18">
      <c r="A38" s="714"/>
      <c r="B38" s="715"/>
      <c r="C38" s="715"/>
      <c r="D38" s="716"/>
      <c r="E38" s="413" t="str">
        <f>+'F2'!U39</f>
        <v>REGULAR</v>
      </c>
      <c r="F38" s="414">
        <f>COUNTIF(F6:F35,"Regular")</f>
        <v>4</v>
      </c>
      <c r="G38" s="415">
        <f>COUNTIF(G6:G35,"Regular")</f>
        <v>4</v>
      </c>
      <c r="H38" s="416"/>
      <c r="I38" s="417">
        <f>COUNTIF(I6:I35,"Regular")</f>
        <v>0</v>
      </c>
      <c r="J38" s="416"/>
      <c r="K38" s="418">
        <f>COUNTIF(K6:K35,"Regular")</f>
        <v>0</v>
      </c>
      <c r="L38" s="416"/>
      <c r="M38" s="415">
        <f>COUNTIF(M6:M35,"Regular")</f>
        <v>4</v>
      </c>
      <c r="N38" s="419">
        <f>COUNTIF(N6:N35,"Regular")</f>
        <v>4</v>
      </c>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row>
    <row r="39" spans="1:190" s="7" customFormat="1" ht="18.75" thickBot="1">
      <c r="A39" s="714"/>
      <c r="B39" s="715"/>
      <c r="C39" s="715"/>
      <c r="D39" s="716"/>
      <c r="E39" s="420" t="str">
        <f>+'F2'!U40</f>
        <v>DEFICIENTE</v>
      </c>
      <c r="F39" s="421">
        <f>COUNTIF(F6:F35,"Deficiente")</f>
        <v>22</v>
      </c>
      <c r="G39" s="422">
        <f>COUNTIF(G6:G35,"Deficiente")</f>
        <v>22</v>
      </c>
      <c r="H39" s="423"/>
      <c r="I39" s="424">
        <f>COUNTIF(I6:I35,"Deficiente")</f>
        <v>0</v>
      </c>
      <c r="J39" s="423"/>
      <c r="K39" s="425">
        <f>COUNTIF(K6:K35,"Deficiente")</f>
        <v>0</v>
      </c>
      <c r="L39" s="423"/>
      <c r="M39" s="426">
        <f>COUNTIF(M6:M35,"Deficiente")</f>
        <v>22</v>
      </c>
      <c r="N39" s="427">
        <f>COUNTIF(N6:N35,"Deficiente")</f>
        <v>22</v>
      </c>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row>
    <row r="40" spans="1:190" s="1" customFormat="1" ht="21" thickBot="1">
      <c r="A40" s="717"/>
      <c r="B40" s="718"/>
      <c r="C40" s="718"/>
      <c r="D40" s="719"/>
      <c r="E40" s="428" t="s">
        <v>113</v>
      </c>
      <c r="F40" s="429">
        <f>SUM(F37:F39)</f>
        <v>30</v>
      </c>
      <c r="G40" s="430">
        <f t="shared" ref="G40:N40" si="0">SUM(G37:G39)</f>
        <v>30</v>
      </c>
      <c r="H40" s="431"/>
      <c r="I40" s="432">
        <f t="shared" si="0"/>
        <v>0</v>
      </c>
      <c r="J40" s="431"/>
      <c r="K40" s="433">
        <f t="shared" si="0"/>
        <v>0</v>
      </c>
      <c r="L40" s="431"/>
      <c r="M40" s="434">
        <f t="shared" si="0"/>
        <v>30</v>
      </c>
      <c r="N40" s="434">
        <f t="shared" si="0"/>
        <v>30</v>
      </c>
    </row>
    <row r="41" spans="1:190" s="1" customFormat="1">
      <c r="A41" s="435"/>
      <c r="B41" s="435"/>
      <c r="C41" s="390"/>
      <c r="D41" s="390"/>
      <c r="E41" s="391"/>
      <c r="F41" s="4"/>
      <c r="G41" s="4"/>
      <c r="H41" s="4"/>
      <c r="I41" s="4"/>
      <c r="J41" s="4"/>
      <c r="K41" s="4"/>
      <c r="L41" s="4"/>
      <c r="M41" s="4"/>
      <c r="N41" s="4"/>
    </row>
    <row r="42" spans="1:190" s="1" customFormat="1">
      <c r="A42" s="435"/>
      <c r="B42" s="435"/>
      <c r="C42" s="390"/>
      <c r="D42" s="390"/>
      <c r="E42" s="391"/>
      <c r="F42" s="4"/>
      <c r="G42" s="4"/>
      <c r="H42" s="4"/>
      <c r="I42" s="4"/>
      <c r="J42" s="4"/>
      <c r="K42" s="4"/>
      <c r="L42" s="4"/>
      <c r="M42" s="4"/>
      <c r="N42" s="4"/>
    </row>
    <row r="43" spans="1:190">
      <c r="A43" s="435"/>
      <c r="B43" s="435"/>
      <c r="C43" s="390"/>
      <c r="D43" s="390"/>
      <c r="E43" s="391"/>
      <c r="F43" s="4"/>
      <c r="G43" s="4"/>
      <c r="H43" s="4"/>
      <c r="I43" s="4"/>
      <c r="J43" s="4"/>
      <c r="K43" s="4"/>
      <c r="L43" s="4"/>
      <c r="M43" s="4"/>
      <c r="N43" s="4"/>
    </row>
    <row r="44" spans="1:190">
      <c r="A44" s="435"/>
      <c r="B44" s="435"/>
      <c r="C44" s="390"/>
      <c r="D44" s="390"/>
      <c r="E44" s="391"/>
      <c r="F44" s="4"/>
      <c r="G44" s="4"/>
      <c r="H44" s="4"/>
      <c r="I44" s="4"/>
      <c r="J44" s="4"/>
      <c r="K44" s="4"/>
      <c r="L44" s="4"/>
      <c r="M44" s="4"/>
      <c r="N44" s="4"/>
    </row>
    <row r="45" spans="1:190">
      <c r="A45" s="435"/>
      <c r="B45" s="435"/>
      <c r="C45" s="390"/>
      <c r="D45" s="390"/>
      <c r="E45" s="391"/>
      <c r="F45" s="4"/>
      <c r="G45" s="4"/>
      <c r="H45" s="4"/>
      <c r="I45" s="4"/>
      <c r="J45" s="4"/>
      <c r="K45" s="4"/>
      <c r="L45" s="4"/>
      <c r="M45" s="4"/>
      <c r="N45" s="4"/>
    </row>
    <row r="46" spans="1:190">
      <c r="A46" s="435"/>
      <c r="B46" s="435"/>
      <c r="C46" s="390"/>
      <c r="D46" s="390"/>
      <c r="E46" s="391"/>
      <c r="F46" s="4"/>
      <c r="G46" s="4"/>
      <c r="H46" s="4"/>
      <c r="I46" s="4"/>
      <c r="J46" s="4"/>
      <c r="K46" s="4"/>
      <c r="L46" s="4"/>
      <c r="M46" s="4"/>
      <c r="N46" s="4"/>
    </row>
    <row r="47" spans="1:190">
      <c r="A47" s="435"/>
      <c r="B47" s="435"/>
      <c r="C47" s="390"/>
      <c r="D47" s="390"/>
      <c r="E47" s="391"/>
      <c r="F47" s="4"/>
      <c r="G47" s="4"/>
      <c r="H47" s="4"/>
      <c r="I47" s="4"/>
      <c r="J47" s="4"/>
      <c r="K47" s="4"/>
      <c r="L47" s="4"/>
      <c r="M47" s="4"/>
      <c r="N47" s="4"/>
    </row>
    <row r="48" spans="1:190">
      <c r="A48" s="4"/>
      <c r="B48" s="4"/>
      <c r="C48" s="390"/>
      <c r="D48" s="390"/>
      <c r="E48" s="391"/>
      <c r="F48" s="4"/>
      <c r="G48" s="4"/>
      <c r="H48" s="4"/>
      <c r="I48" s="4"/>
      <c r="J48" s="4"/>
      <c r="K48" s="4"/>
      <c r="L48" s="4"/>
      <c r="M48" s="4"/>
      <c r="N48" s="4"/>
    </row>
    <row r="49" spans="1:14">
      <c r="A49" s="4"/>
      <c r="B49" s="4"/>
      <c r="C49" s="390"/>
      <c r="D49" s="390"/>
      <c r="E49" s="391"/>
      <c r="F49" s="4"/>
      <c r="G49" s="4"/>
      <c r="H49" s="4"/>
      <c r="I49" s="4"/>
      <c r="J49" s="4"/>
      <c r="K49" s="4"/>
      <c r="L49" s="4"/>
      <c r="M49" s="4"/>
      <c r="N49" s="4"/>
    </row>
    <row r="50" spans="1:14">
      <c r="A50" s="4"/>
      <c r="B50" s="4"/>
      <c r="C50" s="390"/>
      <c r="D50" s="390"/>
      <c r="E50" s="391"/>
      <c r="F50" s="4"/>
      <c r="G50" s="4"/>
      <c r="H50" s="4"/>
      <c r="I50" s="4"/>
      <c r="J50" s="4"/>
      <c r="K50" s="4"/>
      <c r="L50" s="4"/>
      <c r="M50" s="4"/>
      <c r="N50" s="4"/>
    </row>
    <row r="51" spans="1:14">
      <c r="A51" s="4"/>
      <c r="B51" s="4"/>
      <c r="C51" s="390"/>
      <c r="D51" s="390"/>
      <c r="E51" s="391"/>
      <c r="F51" s="4"/>
      <c r="G51" s="4"/>
      <c r="H51" s="4"/>
      <c r="I51" s="4"/>
      <c r="J51" s="4"/>
      <c r="K51" s="4"/>
      <c r="L51" s="4"/>
      <c r="M51" s="4"/>
      <c r="N51" s="4"/>
    </row>
    <row r="52" spans="1:14">
      <c r="A52" s="4"/>
      <c r="B52" s="4"/>
      <c r="C52" s="390"/>
      <c r="D52" s="390"/>
      <c r="E52" s="391"/>
      <c r="F52" s="4"/>
      <c r="G52" s="4"/>
      <c r="H52" s="4"/>
      <c r="I52" s="4"/>
      <c r="J52" s="4"/>
      <c r="K52" s="4"/>
      <c r="L52" s="4"/>
      <c r="M52" s="4"/>
      <c r="N52" s="4"/>
    </row>
    <row r="53" spans="1:14">
      <c r="A53" s="4"/>
      <c r="B53" s="4"/>
      <c r="C53" s="390"/>
      <c r="D53" s="390"/>
      <c r="E53" s="391"/>
      <c r="F53" s="4"/>
      <c r="G53" s="4"/>
      <c r="H53" s="4"/>
      <c r="I53" s="4"/>
      <c r="J53" s="4"/>
      <c r="K53" s="4"/>
      <c r="L53" s="4"/>
      <c r="M53" s="4"/>
      <c r="N53" s="4"/>
    </row>
    <row r="54" spans="1:14">
      <c r="A54" s="4"/>
      <c r="B54" s="4"/>
      <c r="C54" s="390"/>
      <c r="D54" s="390"/>
      <c r="E54" s="391"/>
      <c r="F54" s="4"/>
      <c r="G54" s="4"/>
      <c r="H54" s="4"/>
      <c r="I54" s="4"/>
      <c r="J54" s="4"/>
      <c r="K54" s="4"/>
      <c r="L54" s="4"/>
      <c r="M54" s="4"/>
      <c r="N54" s="4"/>
    </row>
    <row r="55" spans="1:14">
      <c r="A55" s="4"/>
      <c r="B55" s="4"/>
      <c r="C55" s="390"/>
      <c r="D55" s="390"/>
      <c r="E55" s="391"/>
      <c r="F55" s="4"/>
      <c r="G55" s="4"/>
      <c r="H55" s="4"/>
      <c r="I55" s="4"/>
      <c r="J55" s="4"/>
      <c r="K55" s="4"/>
      <c r="L55" s="4"/>
      <c r="M55" s="4"/>
      <c r="N55" s="4"/>
    </row>
    <row r="56" spans="1:14">
      <c r="A56" s="4"/>
      <c r="B56" s="4"/>
      <c r="C56" s="390"/>
      <c r="D56" s="390"/>
      <c r="E56" s="391"/>
      <c r="F56" s="4"/>
      <c r="G56" s="4"/>
      <c r="H56" s="4"/>
      <c r="I56" s="4"/>
      <c r="J56" s="4"/>
      <c r="K56" s="4"/>
      <c r="L56" s="4"/>
      <c r="M56" s="4"/>
      <c r="N56" s="4"/>
    </row>
    <row r="57" spans="1:14">
      <c r="A57" s="4"/>
      <c r="B57" s="4"/>
      <c r="C57" s="390"/>
      <c r="D57" s="390"/>
      <c r="E57" s="391"/>
      <c r="F57" s="4"/>
      <c r="G57" s="4"/>
      <c r="H57" s="4"/>
      <c r="I57" s="4"/>
      <c r="J57" s="4"/>
      <c r="K57" s="4"/>
      <c r="L57" s="4"/>
      <c r="M57" s="4"/>
      <c r="N57" s="4"/>
    </row>
    <row r="58" spans="1:14">
      <c r="A58" s="4"/>
      <c r="B58" s="4"/>
      <c r="C58" s="390"/>
      <c r="D58" s="390"/>
      <c r="E58" s="391"/>
      <c r="F58" s="4"/>
      <c r="G58" s="4"/>
      <c r="H58" s="4"/>
      <c r="I58" s="4"/>
      <c r="J58" s="4"/>
      <c r="K58" s="4"/>
      <c r="L58" s="4"/>
      <c r="M58" s="4"/>
      <c r="N58" s="4"/>
    </row>
    <row r="59" spans="1:14">
      <c r="A59" s="4"/>
      <c r="B59" s="4"/>
      <c r="C59" s="390"/>
      <c r="D59" s="390"/>
      <c r="E59" s="391"/>
      <c r="F59" s="4"/>
      <c r="G59" s="4"/>
      <c r="H59" s="4"/>
      <c r="I59" s="4"/>
      <c r="J59" s="4"/>
      <c r="K59" s="4"/>
      <c r="L59" s="4"/>
      <c r="M59" s="4"/>
      <c r="N59" s="4"/>
    </row>
    <row r="60" spans="1:14">
      <c r="A60" s="4"/>
      <c r="B60" s="4"/>
      <c r="C60" s="390"/>
      <c r="D60" s="390"/>
      <c r="E60" s="391"/>
      <c r="F60" s="4"/>
      <c r="G60" s="4"/>
      <c r="H60" s="4"/>
      <c r="I60" s="4"/>
      <c r="J60" s="4"/>
      <c r="K60" s="4"/>
      <c r="L60" s="4"/>
      <c r="M60" s="4"/>
      <c r="N60" s="4"/>
    </row>
    <row r="61" spans="1:14">
      <c r="A61" s="4"/>
      <c r="B61" s="4"/>
      <c r="C61" s="390"/>
      <c r="D61" s="390"/>
      <c r="E61" s="391"/>
      <c r="F61" s="4"/>
      <c r="G61" s="4"/>
      <c r="H61" s="4"/>
      <c r="I61" s="4"/>
      <c r="J61" s="4"/>
      <c r="K61" s="4"/>
      <c r="L61" s="4"/>
      <c r="M61" s="4"/>
      <c r="N61" s="4"/>
    </row>
    <row r="62" spans="1:14">
      <c r="A62" s="4"/>
      <c r="B62" s="4"/>
      <c r="C62" s="390"/>
      <c r="D62" s="390"/>
      <c r="E62" s="391"/>
      <c r="F62" s="4"/>
      <c r="G62" s="4"/>
      <c r="H62" s="4"/>
      <c r="I62" s="4"/>
      <c r="J62" s="4"/>
      <c r="K62" s="4"/>
      <c r="L62" s="4"/>
      <c r="M62" s="4"/>
      <c r="N62" s="4"/>
    </row>
    <row r="63" spans="1:14">
      <c r="A63" s="4"/>
      <c r="B63" s="4"/>
      <c r="C63" s="390"/>
      <c r="D63" s="390"/>
      <c r="E63" s="391"/>
      <c r="F63" s="4"/>
      <c r="G63" s="4"/>
      <c r="H63" s="4"/>
      <c r="I63" s="4"/>
      <c r="J63" s="4"/>
      <c r="K63" s="4"/>
      <c r="L63" s="4"/>
      <c r="M63" s="4"/>
      <c r="N63" s="4"/>
    </row>
    <row r="64" spans="1:14">
      <c r="A64" s="4"/>
      <c r="B64" s="4"/>
      <c r="C64" s="390"/>
      <c r="D64" s="390"/>
      <c r="E64" s="391"/>
      <c r="F64" s="4"/>
      <c r="G64" s="4"/>
      <c r="H64" s="4"/>
      <c r="I64" s="4"/>
      <c r="J64" s="4"/>
      <c r="K64" s="4"/>
      <c r="L64" s="4"/>
      <c r="M64" s="4"/>
      <c r="N64" s="4"/>
    </row>
    <row r="65" spans="1:14">
      <c r="A65" s="4"/>
      <c r="B65" s="4"/>
      <c r="C65" s="390"/>
      <c r="D65" s="390"/>
      <c r="E65" s="391"/>
      <c r="F65" s="4"/>
      <c r="G65" s="4"/>
      <c r="H65" s="4"/>
      <c r="I65" s="4"/>
      <c r="J65" s="4"/>
      <c r="K65" s="4"/>
      <c r="L65" s="4"/>
      <c r="M65" s="4"/>
      <c r="N65" s="4"/>
    </row>
    <row r="66" spans="1:14">
      <c r="A66" s="4"/>
      <c r="B66" s="4"/>
      <c r="C66" s="390"/>
      <c r="D66" s="390"/>
      <c r="E66" s="391"/>
      <c r="F66" s="4"/>
      <c r="G66" s="4"/>
      <c r="H66" s="4"/>
      <c r="I66" s="4"/>
      <c r="J66" s="4"/>
      <c r="K66" s="4"/>
      <c r="L66" s="4"/>
      <c r="M66" s="4"/>
      <c r="N66" s="4"/>
    </row>
    <row r="67" spans="1:14">
      <c r="A67" s="4"/>
      <c r="B67" s="4"/>
      <c r="C67" s="390"/>
      <c r="D67" s="390"/>
      <c r="E67" s="391"/>
      <c r="F67" s="4"/>
      <c r="G67" s="4"/>
      <c r="H67" s="4"/>
      <c r="I67" s="4"/>
      <c r="J67" s="4"/>
      <c r="K67" s="4"/>
      <c r="L67" s="4"/>
      <c r="M67" s="4"/>
      <c r="N67" s="4"/>
    </row>
    <row r="68" spans="1:14">
      <c r="A68" s="4"/>
      <c r="B68" s="4"/>
      <c r="C68" s="390"/>
      <c r="D68" s="390"/>
      <c r="E68" s="391"/>
      <c r="F68" s="4"/>
      <c r="G68" s="4"/>
      <c r="H68" s="4"/>
      <c r="I68" s="4"/>
      <c r="J68" s="4"/>
      <c r="K68" s="4"/>
      <c r="L68" s="4"/>
      <c r="M68" s="4"/>
      <c r="N68" s="4"/>
    </row>
    <row r="69" spans="1:14">
      <c r="A69" s="4"/>
      <c r="B69" s="4"/>
      <c r="C69" s="390"/>
      <c r="D69" s="390"/>
      <c r="E69" s="391"/>
      <c r="F69" s="4"/>
      <c r="G69" s="4"/>
      <c r="H69" s="4"/>
      <c r="I69" s="4"/>
      <c r="J69" s="4"/>
      <c r="K69" s="4"/>
      <c r="L69" s="4"/>
      <c r="M69" s="4"/>
      <c r="N69" s="4"/>
    </row>
    <row r="70" spans="1:14">
      <c r="A70" s="4"/>
      <c r="B70" s="4"/>
      <c r="C70" s="390"/>
      <c r="D70" s="390"/>
      <c r="E70" s="391"/>
      <c r="F70" s="4"/>
      <c r="G70" s="4"/>
      <c r="H70" s="4"/>
      <c r="I70" s="4"/>
      <c r="J70" s="4"/>
      <c r="K70" s="4"/>
      <c r="L70" s="4"/>
      <c r="M70" s="4"/>
      <c r="N70" s="4"/>
    </row>
    <row r="71" spans="1:14">
      <c r="A71" s="4"/>
      <c r="B71" s="4"/>
      <c r="C71" s="390"/>
      <c r="D71" s="390"/>
      <c r="E71" s="391"/>
      <c r="F71" s="4"/>
      <c r="G71" s="4"/>
      <c r="H71" s="4"/>
      <c r="I71" s="4"/>
      <c r="J71" s="4"/>
      <c r="K71" s="4"/>
      <c r="L71" s="4"/>
      <c r="M71" s="4"/>
      <c r="N71" s="4"/>
    </row>
    <row r="72" spans="1:14">
      <c r="A72" s="4"/>
      <c r="B72" s="4"/>
      <c r="C72" s="390"/>
      <c r="D72" s="390"/>
      <c r="E72" s="391"/>
      <c r="F72" s="4"/>
      <c r="G72" s="4"/>
      <c r="H72" s="4"/>
      <c r="I72" s="4"/>
      <c r="J72" s="4"/>
      <c r="K72" s="4"/>
      <c r="L72" s="4"/>
      <c r="M72" s="4"/>
      <c r="N72" s="4"/>
    </row>
    <row r="73" spans="1:14">
      <c r="A73" s="4"/>
      <c r="B73" s="4"/>
      <c r="C73" s="390"/>
      <c r="D73" s="390"/>
      <c r="E73" s="391"/>
      <c r="F73" s="4"/>
      <c r="G73" s="4"/>
      <c r="H73" s="4"/>
      <c r="I73" s="4"/>
      <c r="J73" s="4"/>
      <c r="K73" s="4"/>
      <c r="L73" s="4"/>
      <c r="M73" s="4"/>
      <c r="N73" s="4"/>
    </row>
    <row r="74" spans="1:14">
      <c r="A74" s="4"/>
      <c r="B74" s="4"/>
      <c r="C74" s="390"/>
      <c r="D74" s="390"/>
      <c r="E74" s="391"/>
      <c r="F74" s="4"/>
      <c r="G74" s="4"/>
      <c r="H74" s="4"/>
      <c r="I74" s="4"/>
      <c r="J74" s="4"/>
      <c r="K74" s="4"/>
      <c r="L74" s="4"/>
      <c r="M74" s="4"/>
      <c r="N74" s="4"/>
    </row>
    <row r="75" spans="1:14">
      <c r="A75" s="4"/>
      <c r="B75" s="4"/>
      <c r="C75" s="390"/>
      <c r="D75" s="390"/>
      <c r="E75" s="391"/>
      <c r="F75" s="4"/>
      <c r="G75" s="4"/>
      <c r="H75" s="4"/>
      <c r="I75" s="4"/>
      <c r="J75" s="4"/>
      <c r="K75" s="4"/>
      <c r="L75" s="4"/>
      <c r="M75" s="4"/>
      <c r="N75" s="4"/>
    </row>
    <row r="76" spans="1:14">
      <c r="A76" s="4"/>
      <c r="B76" s="4"/>
      <c r="C76" s="390"/>
      <c r="D76" s="390"/>
      <c r="E76" s="391"/>
      <c r="F76" s="4"/>
      <c r="G76" s="4"/>
      <c r="H76" s="4"/>
      <c r="I76" s="4"/>
      <c r="J76" s="4"/>
      <c r="K76" s="4"/>
      <c r="L76" s="4"/>
      <c r="M76" s="4"/>
      <c r="N76" s="4"/>
    </row>
    <row r="77" spans="1:14">
      <c r="A77" s="4"/>
      <c r="B77" s="4"/>
      <c r="C77" s="390"/>
      <c r="D77" s="390"/>
      <c r="E77" s="391"/>
      <c r="F77" s="4"/>
      <c r="G77" s="4"/>
      <c r="H77" s="4"/>
      <c r="I77" s="4"/>
      <c r="J77" s="4"/>
      <c r="K77" s="4"/>
      <c r="L77" s="4"/>
      <c r="M77" s="4"/>
      <c r="N77" s="4"/>
    </row>
    <row r="78" spans="1:14">
      <c r="A78" s="4"/>
      <c r="B78" s="4"/>
      <c r="C78" s="390"/>
      <c r="D78" s="390"/>
      <c r="E78" s="391"/>
      <c r="F78" s="4"/>
      <c r="G78" s="4"/>
      <c r="H78" s="4"/>
      <c r="I78" s="4"/>
      <c r="J78" s="4"/>
      <c r="K78" s="4"/>
      <c r="L78" s="4"/>
      <c r="M78" s="4"/>
      <c r="N78" s="4"/>
    </row>
    <row r="79" spans="1:14">
      <c r="A79" s="4"/>
      <c r="B79" s="4"/>
      <c r="C79" s="390"/>
      <c r="D79" s="390"/>
      <c r="E79" s="391"/>
      <c r="F79" s="4"/>
      <c r="G79" s="4"/>
      <c r="H79" s="4"/>
      <c r="I79" s="4"/>
      <c r="J79" s="4"/>
      <c r="K79" s="4"/>
      <c r="L79" s="4"/>
      <c r="M79" s="4"/>
      <c r="N79" s="4"/>
    </row>
    <row r="80" spans="1:14">
      <c r="A80" s="4"/>
      <c r="B80" s="4"/>
      <c r="C80" s="390"/>
      <c r="D80" s="390"/>
      <c r="E80" s="391"/>
      <c r="F80" s="4"/>
      <c r="G80" s="4"/>
      <c r="H80" s="4"/>
      <c r="I80" s="4"/>
      <c r="J80" s="4"/>
      <c r="K80" s="4"/>
      <c r="L80" s="4"/>
      <c r="M80" s="4"/>
      <c r="N80" s="4"/>
    </row>
    <row r="81" spans="1:14">
      <c r="A81" s="4"/>
      <c r="B81" s="4"/>
      <c r="C81" s="390"/>
      <c r="D81" s="390"/>
      <c r="E81" s="391"/>
      <c r="F81" s="4"/>
      <c r="G81" s="4"/>
      <c r="H81" s="4"/>
      <c r="I81" s="4"/>
      <c r="J81" s="4"/>
      <c r="K81" s="4"/>
      <c r="L81" s="4"/>
      <c r="M81" s="4"/>
      <c r="N81" s="4"/>
    </row>
    <row r="82" spans="1:14">
      <c r="A82" s="4"/>
      <c r="B82" s="4"/>
      <c r="C82" s="390"/>
      <c r="D82" s="390"/>
      <c r="E82" s="391"/>
      <c r="F82" s="4"/>
      <c r="G82" s="4"/>
      <c r="H82" s="4"/>
      <c r="I82" s="4"/>
      <c r="J82" s="4"/>
      <c r="K82" s="4"/>
      <c r="L82" s="4"/>
      <c r="M82" s="4"/>
      <c r="N82" s="4"/>
    </row>
    <row r="83" spans="1:14">
      <c r="A83" s="4"/>
      <c r="B83" s="4"/>
      <c r="C83" s="390"/>
      <c r="D83" s="390"/>
      <c r="E83" s="391"/>
      <c r="F83" s="4"/>
      <c r="G83" s="4"/>
      <c r="H83" s="4"/>
      <c r="I83" s="4"/>
      <c r="J83" s="4"/>
      <c r="K83" s="4"/>
      <c r="L83" s="4"/>
      <c r="M83" s="4"/>
      <c r="N83" s="4"/>
    </row>
    <row r="84" spans="1:14">
      <c r="A84" s="4"/>
      <c r="B84" s="4"/>
      <c r="C84" s="390"/>
      <c r="D84" s="390"/>
      <c r="E84" s="391"/>
      <c r="F84" s="4"/>
      <c r="G84" s="4"/>
      <c r="H84" s="4"/>
      <c r="I84" s="4"/>
      <c r="J84" s="4"/>
      <c r="K84" s="4"/>
      <c r="L84" s="4"/>
      <c r="M84" s="4"/>
      <c r="N84" s="4"/>
    </row>
    <row r="85" spans="1:14">
      <c r="A85" s="4"/>
      <c r="B85" s="4"/>
      <c r="C85" s="390"/>
      <c r="D85" s="390"/>
      <c r="E85" s="391"/>
      <c r="F85" s="4"/>
      <c r="G85" s="4"/>
      <c r="H85" s="4"/>
      <c r="I85" s="4"/>
      <c r="J85" s="4"/>
      <c r="K85" s="4"/>
      <c r="L85" s="4"/>
      <c r="M85" s="4"/>
      <c r="N85" s="4"/>
    </row>
    <row r="86" spans="1:14">
      <c r="A86" s="4"/>
      <c r="B86" s="4"/>
      <c r="C86" s="390"/>
      <c r="D86" s="390"/>
      <c r="E86" s="391"/>
      <c r="F86" s="4"/>
      <c r="G86" s="4"/>
      <c r="H86" s="4"/>
      <c r="I86" s="4"/>
      <c r="J86" s="4"/>
      <c r="K86" s="4"/>
      <c r="L86" s="4"/>
      <c r="M86" s="4"/>
      <c r="N86" s="4"/>
    </row>
    <row r="87" spans="1:14">
      <c r="A87" s="4"/>
      <c r="B87" s="4"/>
      <c r="C87" s="390"/>
      <c r="D87" s="390"/>
      <c r="E87" s="391"/>
      <c r="F87" s="4"/>
      <c r="G87" s="4"/>
      <c r="H87" s="4"/>
      <c r="I87" s="4"/>
      <c r="J87" s="4"/>
      <c r="K87" s="4"/>
      <c r="L87" s="4"/>
      <c r="M87" s="4"/>
      <c r="N87" s="4"/>
    </row>
    <row r="88" spans="1:14">
      <c r="A88" s="4"/>
      <c r="B88" s="4"/>
      <c r="C88" s="390"/>
      <c r="D88" s="390"/>
      <c r="E88" s="391"/>
      <c r="F88" s="4"/>
      <c r="G88" s="4"/>
      <c r="H88" s="4"/>
      <c r="I88" s="4"/>
      <c r="J88" s="4"/>
      <c r="K88" s="4"/>
      <c r="L88" s="4"/>
      <c r="M88" s="4"/>
      <c r="N88" s="4"/>
    </row>
    <row r="89" spans="1:14">
      <c r="A89" s="4"/>
      <c r="B89" s="4"/>
      <c r="C89" s="390"/>
      <c r="D89" s="390"/>
      <c r="E89" s="391"/>
      <c r="F89" s="4"/>
      <c r="G89" s="4"/>
      <c r="H89" s="4"/>
      <c r="I89" s="4"/>
      <c r="J89" s="4"/>
      <c r="K89" s="4"/>
      <c r="L89" s="4"/>
      <c r="M89" s="4"/>
      <c r="N89" s="4"/>
    </row>
    <row r="90" spans="1:14">
      <c r="A90" s="4"/>
      <c r="B90" s="4"/>
      <c r="C90" s="390"/>
      <c r="D90" s="390"/>
      <c r="E90" s="391"/>
      <c r="F90" s="4"/>
      <c r="G90" s="4"/>
      <c r="H90" s="4"/>
      <c r="I90" s="4"/>
      <c r="J90" s="4"/>
      <c r="K90" s="4"/>
      <c r="L90" s="4"/>
      <c r="M90" s="4"/>
      <c r="N90" s="4"/>
    </row>
    <row r="91" spans="1:14">
      <c r="A91" s="4"/>
      <c r="B91" s="4"/>
      <c r="C91" s="390"/>
      <c r="D91" s="390"/>
      <c r="E91" s="391"/>
      <c r="F91" s="4"/>
      <c r="G91" s="4"/>
      <c r="H91" s="4"/>
      <c r="I91" s="4"/>
      <c r="J91" s="4"/>
      <c r="K91" s="4"/>
      <c r="L91" s="4"/>
      <c r="M91" s="4"/>
      <c r="N91" s="4"/>
    </row>
    <row r="92" spans="1:14">
      <c r="A92" s="4"/>
      <c r="B92" s="4"/>
      <c r="C92" s="390"/>
      <c r="D92" s="390"/>
      <c r="E92" s="391"/>
      <c r="F92" s="4"/>
      <c r="G92" s="4"/>
      <c r="H92" s="4"/>
      <c r="I92" s="4"/>
      <c r="J92" s="4"/>
      <c r="K92" s="4"/>
      <c r="L92" s="4"/>
      <c r="M92" s="4"/>
      <c r="N92" s="4"/>
    </row>
    <row r="93" spans="1:14">
      <c r="A93" s="4"/>
      <c r="B93" s="4"/>
      <c r="C93" s="390"/>
      <c r="D93" s="390"/>
      <c r="E93" s="391"/>
      <c r="F93" s="4"/>
      <c r="G93" s="4"/>
      <c r="H93" s="4"/>
      <c r="I93" s="4"/>
      <c r="J93" s="4"/>
      <c r="K93" s="4"/>
      <c r="L93" s="4"/>
      <c r="M93" s="4"/>
      <c r="N93" s="4"/>
    </row>
    <row r="94" spans="1:14">
      <c r="A94" s="4"/>
      <c r="B94" s="4"/>
      <c r="C94" s="390"/>
      <c r="D94" s="390"/>
      <c r="E94" s="391"/>
      <c r="F94" s="4"/>
      <c r="G94" s="4"/>
      <c r="H94" s="4"/>
      <c r="I94" s="4"/>
      <c r="J94" s="4"/>
      <c r="K94" s="4"/>
      <c r="L94" s="4"/>
      <c r="M94" s="4"/>
      <c r="N94" s="4"/>
    </row>
    <row r="95" spans="1:14">
      <c r="A95" s="4"/>
      <c r="B95" s="4"/>
      <c r="C95" s="390"/>
      <c r="D95" s="390"/>
      <c r="E95" s="391"/>
      <c r="F95" s="4"/>
      <c r="G95" s="4"/>
      <c r="H95" s="4"/>
      <c r="I95" s="4"/>
      <c r="J95" s="4"/>
      <c r="K95" s="4"/>
      <c r="L95" s="4"/>
      <c r="M95" s="4"/>
      <c r="N95" s="4"/>
    </row>
    <row r="96" spans="1:14">
      <c r="A96" s="4"/>
      <c r="B96" s="4"/>
      <c r="C96" s="390"/>
      <c r="D96" s="390"/>
      <c r="E96" s="391"/>
      <c r="F96" s="4"/>
      <c r="G96" s="4"/>
      <c r="H96" s="4"/>
      <c r="I96" s="4"/>
      <c r="J96" s="4"/>
      <c r="K96" s="4"/>
      <c r="L96" s="4"/>
      <c r="M96" s="4"/>
      <c r="N96" s="4"/>
    </row>
    <row r="97" spans="1:14">
      <c r="A97" s="4"/>
      <c r="B97" s="4"/>
      <c r="C97" s="390"/>
      <c r="D97" s="390"/>
      <c r="E97" s="391"/>
      <c r="F97" s="4"/>
      <c r="G97" s="4"/>
      <c r="H97" s="4"/>
      <c r="I97" s="4"/>
      <c r="J97" s="4"/>
      <c r="K97" s="4"/>
      <c r="L97" s="4"/>
      <c r="M97" s="4"/>
      <c r="N97" s="4"/>
    </row>
    <row r="98" spans="1:14">
      <c r="A98" s="4"/>
      <c r="B98" s="4"/>
      <c r="C98" s="390"/>
      <c r="D98" s="390"/>
      <c r="E98" s="391"/>
      <c r="F98" s="4"/>
      <c r="G98" s="4"/>
      <c r="H98" s="4"/>
      <c r="I98" s="4"/>
      <c r="J98" s="4"/>
      <c r="K98" s="4"/>
      <c r="L98" s="4"/>
      <c r="M98" s="4"/>
      <c r="N98" s="4"/>
    </row>
    <row r="99" spans="1:14">
      <c r="A99" s="4"/>
      <c r="B99" s="4"/>
      <c r="C99" s="390"/>
      <c r="D99" s="390"/>
      <c r="E99" s="391"/>
      <c r="F99" s="4"/>
      <c r="G99" s="4"/>
      <c r="H99" s="4"/>
      <c r="I99" s="4"/>
      <c r="J99" s="4"/>
      <c r="K99" s="4"/>
      <c r="L99" s="4"/>
      <c r="M99" s="4"/>
      <c r="N99" s="4"/>
    </row>
    <row r="100" spans="1:14">
      <c r="A100" s="4"/>
      <c r="B100" s="4"/>
      <c r="C100" s="390"/>
      <c r="D100" s="390"/>
      <c r="E100" s="391"/>
      <c r="F100" s="4"/>
      <c r="G100" s="4"/>
      <c r="H100" s="4"/>
      <c r="I100" s="4"/>
      <c r="J100" s="4"/>
      <c r="K100" s="4"/>
      <c r="L100" s="4"/>
      <c r="M100" s="4"/>
      <c r="N100" s="4"/>
    </row>
    <row r="101" spans="1:14">
      <c r="A101" s="4"/>
      <c r="B101" s="4"/>
      <c r="C101" s="390"/>
      <c r="D101" s="390"/>
      <c r="E101" s="391"/>
      <c r="F101" s="4"/>
      <c r="G101" s="4"/>
      <c r="H101" s="4"/>
      <c r="I101" s="4"/>
      <c r="J101" s="4"/>
      <c r="K101" s="4"/>
      <c r="L101" s="4"/>
      <c r="M101" s="4"/>
      <c r="N101" s="4"/>
    </row>
    <row r="102" spans="1:14">
      <c r="A102" s="4"/>
      <c r="B102" s="4"/>
      <c r="C102" s="390"/>
      <c r="D102" s="390"/>
      <c r="E102" s="391"/>
      <c r="F102" s="4"/>
      <c r="G102" s="4"/>
      <c r="H102" s="4"/>
      <c r="I102" s="4"/>
      <c r="J102" s="4"/>
      <c r="K102" s="4"/>
      <c r="L102" s="4"/>
      <c r="M102" s="4"/>
      <c r="N102" s="4"/>
    </row>
    <row r="103" spans="1:14">
      <c r="A103" s="4"/>
      <c r="B103" s="4"/>
      <c r="C103" s="390"/>
      <c r="D103" s="390"/>
      <c r="E103" s="391"/>
      <c r="F103" s="4"/>
      <c r="G103" s="4"/>
      <c r="H103" s="4"/>
      <c r="I103" s="4"/>
      <c r="J103" s="4"/>
      <c r="K103" s="4"/>
      <c r="L103" s="4"/>
      <c r="M103" s="4"/>
      <c r="N103" s="4"/>
    </row>
    <row r="104" spans="1:14">
      <c r="A104" s="4"/>
      <c r="B104" s="4"/>
      <c r="C104" s="390"/>
      <c r="D104" s="390"/>
      <c r="E104" s="391"/>
      <c r="F104" s="4"/>
      <c r="G104" s="4"/>
      <c r="H104" s="4"/>
      <c r="I104" s="4"/>
      <c r="J104" s="4"/>
      <c r="K104" s="4"/>
      <c r="L104" s="4"/>
      <c r="M104" s="4"/>
      <c r="N104" s="4"/>
    </row>
    <row r="105" spans="1:14">
      <c r="A105" s="4"/>
      <c r="B105" s="4"/>
      <c r="C105" s="390"/>
      <c r="D105" s="390"/>
      <c r="E105" s="391"/>
      <c r="F105" s="4"/>
      <c r="G105" s="4"/>
      <c r="H105" s="4"/>
      <c r="I105" s="4"/>
      <c r="J105" s="4"/>
      <c r="K105" s="4"/>
      <c r="L105" s="4"/>
      <c r="M105" s="4"/>
      <c r="N105" s="4"/>
    </row>
    <row r="106" spans="1:14">
      <c r="A106" s="4"/>
      <c r="B106" s="4"/>
      <c r="C106" s="390"/>
      <c r="D106" s="390"/>
      <c r="E106" s="391"/>
      <c r="F106" s="4"/>
      <c r="G106" s="4"/>
      <c r="H106" s="4"/>
      <c r="I106" s="4"/>
      <c r="J106" s="4"/>
      <c r="K106" s="4"/>
      <c r="L106" s="4"/>
      <c r="M106" s="4"/>
      <c r="N106" s="4"/>
    </row>
    <row r="107" spans="1:14">
      <c r="A107" s="4"/>
      <c r="B107" s="4"/>
      <c r="C107" s="390"/>
      <c r="D107" s="390"/>
      <c r="E107" s="391"/>
      <c r="F107" s="4"/>
      <c r="G107" s="4"/>
      <c r="H107" s="4"/>
      <c r="I107" s="4"/>
      <c r="J107" s="4"/>
      <c r="K107" s="4"/>
      <c r="L107" s="4"/>
      <c r="M107" s="4"/>
      <c r="N107" s="4"/>
    </row>
    <row r="108" spans="1:14">
      <c r="A108" s="4"/>
      <c r="B108" s="4"/>
      <c r="C108" s="390"/>
      <c r="D108" s="390"/>
      <c r="E108" s="391"/>
      <c r="F108" s="4"/>
      <c r="G108" s="4"/>
      <c r="H108" s="4"/>
      <c r="I108" s="4"/>
      <c r="J108" s="4"/>
      <c r="K108" s="4"/>
      <c r="L108" s="4"/>
      <c r="M108" s="4"/>
      <c r="N108" s="4"/>
    </row>
    <row r="109" spans="1:14">
      <c r="A109" s="4"/>
      <c r="B109" s="4"/>
      <c r="C109" s="390"/>
      <c r="D109" s="390"/>
      <c r="E109" s="391"/>
      <c r="F109" s="4"/>
      <c r="G109" s="4"/>
      <c r="H109" s="4"/>
      <c r="I109" s="4"/>
      <c r="J109" s="4"/>
      <c r="K109" s="4"/>
      <c r="L109" s="4"/>
      <c r="M109" s="4"/>
      <c r="N109" s="4"/>
    </row>
    <row r="110" spans="1:14">
      <c r="A110" s="4"/>
      <c r="B110" s="4"/>
      <c r="C110" s="390"/>
      <c r="D110" s="390"/>
      <c r="E110" s="391"/>
      <c r="F110" s="4"/>
      <c r="G110" s="4"/>
      <c r="H110" s="4"/>
      <c r="I110" s="4"/>
      <c r="J110" s="4"/>
      <c r="K110" s="4"/>
      <c r="L110" s="4"/>
      <c r="M110" s="4"/>
      <c r="N110" s="4"/>
    </row>
    <row r="111" spans="1:14">
      <c r="A111" s="4"/>
      <c r="B111" s="4"/>
      <c r="C111" s="390"/>
      <c r="D111" s="390"/>
      <c r="E111" s="391"/>
      <c r="F111" s="4"/>
      <c r="G111" s="4"/>
      <c r="H111" s="4"/>
      <c r="I111" s="4"/>
      <c r="J111" s="4"/>
      <c r="K111" s="4"/>
      <c r="L111" s="4"/>
      <c r="M111" s="4"/>
      <c r="N111" s="4"/>
    </row>
    <row r="112" spans="1:14">
      <c r="A112" s="4"/>
      <c r="B112" s="4"/>
      <c r="C112" s="390"/>
      <c r="D112" s="390"/>
      <c r="E112" s="391"/>
      <c r="F112" s="4"/>
      <c r="G112" s="4"/>
      <c r="H112" s="4"/>
      <c r="I112" s="4"/>
      <c r="J112" s="4"/>
      <c r="K112" s="4"/>
      <c r="L112" s="4"/>
      <c r="M112" s="4"/>
      <c r="N112" s="4"/>
    </row>
    <row r="113" spans="1:14">
      <c r="A113" s="4"/>
      <c r="B113" s="4"/>
      <c r="C113" s="390"/>
      <c r="D113" s="390"/>
      <c r="E113" s="391"/>
      <c r="F113" s="4"/>
      <c r="G113" s="4"/>
      <c r="H113" s="4"/>
      <c r="I113" s="4"/>
      <c r="J113" s="4"/>
      <c r="K113" s="4"/>
      <c r="L113" s="4"/>
      <c r="M113" s="4"/>
      <c r="N113" s="4"/>
    </row>
    <row r="114" spans="1:14">
      <c r="A114" s="4"/>
      <c r="B114" s="4"/>
      <c r="C114" s="390"/>
      <c r="D114" s="390"/>
      <c r="E114" s="391"/>
      <c r="F114" s="4"/>
      <c r="G114" s="4"/>
      <c r="H114" s="4"/>
      <c r="I114" s="4"/>
      <c r="J114" s="4"/>
      <c r="K114" s="4"/>
      <c r="L114" s="4"/>
      <c r="M114" s="4"/>
      <c r="N114" s="4"/>
    </row>
    <row r="115" spans="1:14">
      <c r="A115" s="4"/>
      <c r="B115" s="4"/>
      <c r="C115" s="390"/>
      <c r="D115" s="390"/>
      <c r="E115" s="391"/>
      <c r="F115" s="4"/>
      <c r="G115" s="4"/>
      <c r="H115" s="4"/>
      <c r="I115" s="4"/>
      <c r="J115" s="4"/>
      <c r="K115" s="4"/>
      <c r="L115" s="4"/>
      <c r="M115" s="4"/>
      <c r="N115" s="4"/>
    </row>
    <row r="116" spans="1:14">
      <c r="A116" s="4"/>
      <c r="B116" s="4"/>
      <c r="C116" s="390"/>
      <c r="D116" s="390"/>
      <c r="E116" s="391"/>
      <c r="F116" s="4"/>
      <c r="G116" s="4"/>
      <c r="H116" s="4"/>
      <c r="I116" s="4"/>
      <c r="J116" s="4"/>
      <c r="K116" s="4"/>
      <c r="L116" s="4"/>
      <c r="M116" s="4"/>
      <c r="N116" s="4"/>
    </row>
    <row r="117" spans="1:14">
      <c r="A117" s="4"/>
      <c r="B117" s="4"/>
      <c r="C117" s="390"/>
      <c r="D117" s="390"/>
      <c r="E117" s="391"/>
      <c r="F117" s="4"/>
      <c r="G117" s="4"/>
      <c r="H117" s="4"/>
      <c r="I117" s="4"/>
      <c r="J117" s="4"/>
      <c r="K117" s="4"/>
      <c r="L117" s="4"/>
      <c r="M117" s="4"/>
      <c r="N117" s="4"/>
    </row>
    <row r="118" spans="1:14">
      <c r="A118" s="4"/>
      <c r="B118" s="4"/>
      <c r="C118" s="390"/>
      <c r="D118" s="390"/>
      <c r="E118" s="391"/>
      <c r="F118" s="4"/>
      <c r="G118" s="4"/>
      <c r="H118" s="4"/>
      <c r="I118" s="4"/>
      <c r="J118" s="4"/>
      <c r="K118" s="4"/>
      <c r="L118" s="4"/>
      <c r="M118" s="4"/>
      <c r="N118" s="4"/>
    </row>
    <row r="119" spans="1:14">
      <c r="A119" s="4"/>
      <c r="B119" s="4"/>
      <c r="C119" s="390"/>
      <c r="D119" s="390"/>
      <c r="E119" s="391"/>
      <c r="F119" s="4"/>
      <c r="G119" s="4"/>
      <c r="H119" s="4"/>
      <c r="I119" s="4"/>
      <c r="J119" s="4"/>
      <c r="K119" s="4"/>
      <c r="L119" s="4"/>
      <c r="M119" s="4"/>
      <c r="N119" s="4"/>
    </row>
    <row r="120" spans="1:14">
      <c r="A120" s="4"/>
      <c r="B120" s="4"/>
      <c r="C120" s="390"/>
      <c r="D120" s="390"/>
      <c r="E120" s="391"/>
      <c r="F120" s="4"/>
      <c r="G120" s="4"/>
      <c r="H120" s="4"/>
      <c r="I120" s="4"/>
      <c r="J120" s="4"/>
      <c r="K120" s="4"/>
      <c r="L120" s="4"/>
      <c r="M120" s="4"/>
      <c r="N120" s="4"/>
    </row>
    <row r="121" spans="1:14">
      <c r="A121" s="4"/>
      <c r="B121" s="4"/>
      <c r="C121" s="390"/>
      <c r="D121" s="390"/>
      <c r="E121" s="391"/>
      <c r="F121" s="4"/>
      <c r="G121" s="4"/>
      <c r="H121" s="4"/>
      <c r="I121" s="4"/>
      <c r="J121" s="4"/>
      <c r="K121" s="4"/>
      <c r="L121" s="4"/>
      <c r="M121" s="4"/>
      <c r="N121" s="4"/>
    </row>
    <row r="122" spans="1:14">
      <c r="A122" s="4"/>
      <c r="B122" s="4"/>
      <c r="C122" s="390"/>
      <c r="D122" s="390"/>
      <c r="E122" s="391"/>
      <c r="F122" s="4"/>
      <c r="G122" s="4"/>
      <c r="H122" s="4"/>
      <c r="I122" s="4"/>
      <c r="J122" s="4"/>
      <c r="K122" s="4"/>
      <c r="L122" s="4"/>
      <c r="M122" s="4"/>
      <c r="N122" s="4"/>
    </row>
    <row r="123" spans="1:14">
      <c r="A123" s="4"/>
      <c r="B123" s="4"/>
      <c r="C123" s="390"/>
      <c r="D123" s="390"/>
      <c r="E123" s="391"/>
      <c r="F123" s="4"/>
      <c r="G123" s="4"/>
      <c r="H123" s="4"/>
      <c r="I123" s="4"/>
      <c r="J123" s="4"/>
      <c r="K123" s="4"/>
      <c r="L123" s="4"/>
      <c r="M123" s="4"/>
      <c r="N123" s="4"/>
    </row>
    <row r="124" spans="1:14">
      <c r="A124" s="4"/>
      <c r="B124" s="4"/>
      <c r="C124" s="390"/>
      <c r="D124" s="390"/>
      <c r="E124" s="391"/>
      <c r="F124" s="4"/>
      <c r="G124" s="4"/>
      <c r="H124" s="4"/>
      <c r="I124" s="4"/>
      <c r="J124" s="4"/>
      <c r="K124" s="4"/>
      <c r="L124" s="4"/>
      <c r="M124" s="4"/>
      <c r="N124" s="4"/>
    </row>
    <row r="125" spans="1:14">
      <c r="A125" s="4"/>
      <c r="B125" s="4"/>
      <c r="C125" s="390"/>
      <c r="D125" s="390"/>
      <c r="E125" s="391"/>
      <c r="F125" s="4"/>
      <c r="G125" s="4"/>
      <c r="H125" s="4"/>
      <c r="I125" s="4"/>
      <c r="J125" s="4"/>
      <c r="K125" s="4"/>
      <c r="L125" s="4"/>
      <c r="M125" s="4"/>
      <c r="N125" s="4"/>
    </row>
    <row r="126" spans="1:14">
      <c r="A126" s="4"/>
      <c r="B126" s="4"/>
      <c r="C126" s="390"/>
      <c r="D126" s="390"/>
      <c r="E126" s="391"/>
      <c r="F126" s="4"/>
      <c r="G126" s="4"/>
      <c r="H126" s="4"/>
      <c r="I126" s="4"/>
      <c r="J126" s="4"/>
      <c r="K126" s="4"/>
      <c r="L126" s="4"/>
      <c r="M126" s="4"/>
      <c r="N126" s="4"/>
    </row>
    <row r="127" spans="1:14">
      <c r="A127" s="4"/>
      <c r="B127" s="4"/>
      <c r="C127" s="390"/>
      <c r="D127" s="390"/>
      <c r="E127" s="391"/>
      <c r="F127" s="4"/>
      <c r="G127" s="4"/>
      <c r="H127" s="4"/>
      <c r="I127" s="4"/>
      <c r="J127" s="4"/>
      <c r="K127" s="4"/>
      <c r="L127" s="4"/>
      <c r="M127" s="4"/>
      <c r="N127" s="4"/>
    </row>
    <row r="128" spans="1:14">
      <c r="A128" s="4"/>
      <c r="B128" s="4"/>
      <c r="C128" s="390"/>
      <c r="D128" s="390"/>
      <c r="E128" s="391"/>
      <c r="F128" s="4"/>
      <c r="G128" s="4"/>
      <c r="H128" s="4"/>
      <c r="I128" s="4"/>
      <c r="J128" s="4"/>
      <c r="K128" s="4"/>
      <c r="L128" s="4"/>
      <c r="M128" s="4"/>
      <c r="N128" s="4"/>
    </row>
    <row r="129" spans="1:14">
      <c r="A129" s="4"/>
      <c r="B129" s="4"/>
      <c r="C129" s="390"/>
      <c r="D129" s="390"/>
      <c r="E129" s="391"/>
      <c r="F129" s="4"/>
      <c r="G129" s="4"/>
      <c r="H129" s="4"/>
      <c r="I129" s="4"/>
      <c r="J129" s="4"/>
      <c r="K129" s="4"/>
      <c r="L129" s="4"/>
      <c r="M129" s="4"/>
      <c r="N129" s="4"/>
    </row>
    <row r="130" spans="1:14">
      <c r="A130" s="4"/>
      <c r="B130" s="4"/>
      <c r="C130" s="390"/>
      <c r="D130" s="390"/>
      <c r="E130" s="391"/>
      <c r="F130" s="4"/>
      <c r="G130" s="4"/>
      <c r="H130" s="4"/>
      <c r="I130" s="4"/>
      <c r="J130" s="4"/>
      <c r="K130" s="4"/>
      <c r="L130" s="4"/>
      <c r="M130" s="4"/>
      <c r="N130" s="4"/>
    </row>
    <row r="131" spans="1:14">
      <c r="A131" s="4"/>
      <c r="B131" s="4"/>
      <c r="C131" s="390"/>
      <c r="D131" s="390"/>
      <c r="E131" s="391"/>
      <c r="F131" s="4"/>
      <c r="G131" s="4"/>
      <c r="H131" s="4"/>
      <c r="I131" s="4"/>
      <c r="J131" s="4"/>
      <c r="K131" s="4"/>
      <c r="L131" s="4"/>
      <c r="M131" s="4"/>
      <c r="N131" s="4"/>
    </row>
    <row r="132" spans="1:14">
      <c r="A132" s="4"/>
      <c r="B132" s="4"/>
      <c r="C132" s="390"/>
      <c r="D132" s="390"/>
      <c r="E132" s="391"/>
      <c r="F132" s="4"/>
      <c r="G132" s="4"/>
      <c r="H132" s="4"/>
      <c r="I132" s="4"/>
      <c r="J132" s="4"/>
      <c r="K132" s="4"/>
      <c r="L132" s="4"/>
      <c r="M132" s="4"/>
      <c r="N132" s="4"/>
    </row>
    <row r="133" spans="1:14">
      <c r="A133" s="4"/>
      <c r="B133" s="4"/>
      <c r="C133" s="390"/>
      <c r="D133" s="390"/>
      <c r="E133" s="391"/>
      <c r="F133" s="4"/>
      <c r="G133" s="4"/>
      <c r="H133" s="4"/>
      <c r="I133" s="4"/>
      <c r="J133" s="4"/>
      <c r="K133" s="4"/>
      <c r="L133" s="4"/>
      <c r="M133" s="4"/>
      <c r="N133" s="4"/>
    </row>
    <row r="134" spans="1:14">
      <c r="A134" s="4"/>
      <c r="B134" s="4"/>
      <c r="C134" s="390"/>
      <c r="D134" s="390"/>
      <c r="E134" s="391"/>
      <c r="F134" s="4"/>
      <c r="G134" s="4"/>
      <c r="H134" s="4"/>
      <c r="I134" s="4"/>
      <c r="J134" s="4"/>
      <c r="K134" s="4"/>
      <c r="L134" s="4"/>
      <c r="M134" s="4"/>
      <c r="N134" s="4"/>
    </row>
    <row r="135" spans="1:14">
      <c r="A135" s="4"/>
      <c r="B135" s="4"/>
      <c r="C135" s="390"/>
      <c r="D135" s="390"/>
      <c r="E135" s="391"/>
      <c r="F135" s="4"/>
      <c r="G135" s="4"/>
      <c r="H135" s="4"/>
      <c r="I135" s="4"/>
      <c r="J135" s="4"/>
      <c r="K135" s="4"/>
      <c r="L135" s="4"/>
      <c r="M135" s="4"/>
      <c r="N135" s="4"/>
    </row>
    <row r="136" spans="1:14">
      <c r="A136" s="4"/>
      <c r="B136" s="4"/>
      <c r="C136" s="390"/>
      <c r="D136" s="390"/>
      <c r="E136" s="391"/>
      <c r="F136" s="4"/>
      <c r="G136" s="4"/>
      <c r="H136" s="4"/>
      <c r="I136" s="4"/>
      <c r="J136" s="4"/>
      <c r="K136" s="4"/>
      <c r="L136" s="4"/>
      <c r="M136" s="4"/>
      <c r="N136" s="4"/>
    </row>
    <row r="137" spans="1:14">
      <c r="A137" s="4"/>
      <c r="B137" s="4"/>
      <c r="C137" s="390"/>
      <c r="D137" s="390"/>
      <c r="E137" s="391"/>
      <c r="F137" s="4"/>
      <c r="G137" s="4"/>
      <c r="H137" s="4"/>
      <c r="I137" s="4"/>
      <c r="J137" s="4"/>
      <c r="K137" s="4"/>
      <c r="L137" s="4"/>
      <c r="M137" s="4"/>
      <c r="N137" s="4"/>
    </row>
    <row r="138" spans="1:14">
      <c r="A138" s="4"/>
      <c r="B138" s="4"/>
      <c r="C138" s="390"/>
      <c r="D138" s="390"/>
      <c r="E138" s="391"/>
      <c r="F138" s="4"/>
      <c r="G138" s="4"/>
      <c r="H138" s="4"/>
      <c r="I138" s="4"/>
      <c r="J138" s="4"/>
      <c r="K138" s="4"/>
      <c r="L138" s="4"/>
      <c r="M138" s="4"/>
      <c r="N138" s="4"/>
    </row>
    <row r="139" spans="1:14">
      <c r="A139" s="4"/>
      <c r="B139" s="4"/>
      <c r="C139" s="390"/>
      <c r="D139" s="390"/>
      <c r="E139" s="391"/>
      <c r="F139" s="4"/>
      <c r="G139" s="4"/>
      <c r="H139" s="4"/>
      <c r="I139" s="4"/>
      <c r="J139" s="4"/>
      <c r="K139" s="4"/>
      <c r="L139" s="4"/>
      <c r="M139" s="4"/>
      <c r="N139" s="4"/>
    </row>
    <row r="140" spans="1:14">
      <c r="A140" s="4"/>
      <c r="B140" s="4"/>
      <c r="C140" s="390"/>
      <c r="D140" s="390"/>
      <c r="E140" s="391"/>
      <c r="F140" s="4"/>
      <c r="G140" s="4"/>
      <c r="H140" s="4"/>
      <c r="I140" s="4"/>
      <c r="J140" s="4"/>
      <c r="K140" s="4"/>
      <c r="L140" s="4"/>
      <c r="M140" s="4"/>
      <c r="N140" s="4"/>
    </row>
    <row r="141" spans="1:14">
      <c r="A141" s="4"/>
      <c r="B141" s="4"/>
      <c r="C141" s="390"/>
      <c r="D141" s="390"/>
      <c r="E141" s="391"/>
      <c r="F141" s="4"/>
      <c r="G141" s="4"/>
      <c r="H141" s="4"/>
      <c r="I141" s="4"/>
      <c r="J141" s="4"/>
      <c r="K141" s="4"/>
      <c r="L141" s="4"/>
      <c r="M141" s="4"/>
      <c r="N141" s="4"/>
    </row>
    <row r="142" spans="1:14">
      <c r="A142" s="4"/>
      <c r="B142" s="4"/>
      <c r="C142" s="390"/>
      <c r="D142" s="390"/>
      <c r="E142" s="391"/>
      <c r="F142" s="4"/>
      <c r="G142" s="4"/>
      <c r="H142" s="4"/>
      <c r="I142" s="4"/>
      <c r="J142" s="4"/>
      <c r="K142" s="4"/>
      <c r="L142" s="4"/>
      <c r="M142" s="4"/>
      <c r="N142" s="4"/>
    </row>
    <row r="143" spans="1:14">
      <c r="A143" s="4"/>
      <c r="B143" s="4"/>
      <c r="C143" s="390"/>
      <c r="D143" s="390"/>
      <c r="E143" s="391"/>
      <c r="F143" s="4"/>
      <c r="G143" s="4"/>
      <c r="H143" s="4"/>
      <c r="I143" s="4"/>
      <c r="J143" s="4"/>
      <c r="K143" s="4"/>
      <c r="L143" s="4"/>
      <c r="M143" s="4"/>
      <c r="N143" s="4"/>
    </row>
    <row r="144" spans="1:14">
      <c r="A144" s="4"/>
      <c r="B144" s="4"/>
      <c r="C144" s="390"/>
      <c r="D144" s="390"/>
      <c r="E144" s="391"/>
      <c r="F144" s="4"/>
      <c r="G144" s="4"/>
      <c r="H144" s="4"/>
      <c r="I144" s="4"/>
      <c r="J144" s="4"/>
      <c r="K144" s="4"/>
      <c r="L144" s="4"/>
      <c r="M144" s="4"/>
      <c r="N144" s="4"/>
    </row>
    <row r="145" spans="1:14">
      <c r="A145" s="4"/>
      <c r="B145" s="4"/>
      <c r="C145" s="390"/>
      <c r="D145" s="390"/>
      <c r="E145" s="391"/>
      <c r="F145" s="4"/>
      <c r="G145" s="4"/>
      <c r="H145" s="4"/>
      <c r="I145" s="4"/>
      <c r="J145" s="4"/>
      <c r="K145" s="4"/>
      <c r="L145" s="4"/>
      <c r="M145" s="4"/>
      <c r="N145" s="4"/>
    </row>
    <row r="146" spans="1:14">
      <c r="A146" s="4"/>
      <c r="B146" s="4"/>
      <c r="C146" s="390"/>
      <c r="D146" s="390"/>
      <c r="E146" s="391"/>
      <c r="F146" s="4"/>
      <c r="G146" s="4"/>
      <c r="H146" s="4"/>
      <c r="I146" s="4"/>
      <c r="J146" s="4"/>
      <c r="K146" s="4"/>
      <c r="L146" s="4"/>
      <c r="M146" s="4"/>
      <c r="N146" s="4"/>
    </row>
    <row r="147" spans="1:14">
      <c r="A147" s="4"/>
      <c r="B147" s="4"/>
      <c r="C147" s="390"/>
      <c r="D147" s="390"/>
      <c r="E147" s="391"/>
      <c r="F147" s="4"/>
      <c r="G147" s="4"/>
      <c r="H147" s="4"/>
      <c r="I147" s="4"/>
      <c r="J147" s="4"/>
      <c r="K147" s="4"/>
      <c r="L147" s="4"/>
      <c r="M147" s="4"/>
      <c r="N147" s="4"/>
    </row>
    <row r="148" spans="1:14">
      <c r="A148" s="4"/>
      <c r="B148" s="4"/>
      <c r="C148" s="390"/>
      <c r="D148" s="390"/>
      <c r="E148" s="391"/>
      <c r="F148" s="4"/>
      <c r="G148" s="4"/>
      <c r="H148" s="4"/>
      <c r="I148" s="4"/>
      <c r="J148" s="4"/>
      <c r="K148" s="4"/>
      <c r="L148" s="4"/>
      <c r="M148" s="4"/>
      <c r="N148" s="4"/>
    </row>
    <row r="149" spans="1:14">
      <c r="A149" s="4"/>
      <c r="B149" s="4"/>
      <c r="C149" s="390"/>
      <c r="D149" s="390"/>
      <c r="E149" s="391"/>
      <c r="F149" s="4"/>
      <c r="G149" s="4"/>
      <c r="H149" s="4"/>
      <c r="I149" s="4"/>
      <c r="J149" s="4"/>
      <c r="K149" s="4"/>
      <c r="L149" s="4"/>
      <c r="M149" s="4"/>
      <c r="N149" s="4"/>
    </row>
    <row r="150" spans="1:14">
      <c r="A150" s="4"/>
      <c r="B150" s="4"/>
      <c r="C150" s="390"/>
      <c r="D150" s="390"/>
      <c r="E150" s="391"/>
      <c r="F150" s="4"/>
      <c r="G150" s="4"/>
      <c r="H150" s="4"/>
      <c r="I150" s="4"/>
      <c r="J150" s="4"/>
      <c r="K150" s="4"/>
      <c r="L150" s="4"/>
      <c r="M150" s="4"/>
      <c r="N150" s="4"/>
    </row>
    <row r="151" spans="1:14">
      <c r="A151" s="4"/>
      <c r="B151" s="4"/>
      <c r="C151" s="390"/>
      <c r="D151" s="390"/>
      <c r="E151" s="391"/>
      <c r="F151" s="4"/>
      <c r="G151" s="4"/>
      <c r="H151" s="4"/>
      <c r="I151" s="4"/>
      <c r="J151" s="4"/>
      <c r="K151" s="4"/>
      <c r="L151" s="4"/>
      <c r="M151" s="4"/>
      <c r="N151" s="4"/>
    </row>
    <row r="152" spans="1:14">
      <c r="A152" s="4"/>
      <c r="B152" s="4"/>
      <c r="C152" s="390"/>
      <c r="D152" s="390"/>
      <c r="E152" s="391"/>
      <c r="F152" s="4"/>
      <c r="G152" s="4"/>
      <c r="H152" s="4"/>
      <c r="I152" s="4"/>
      <c r="J152" s="4"/>
      <c r="K152" s="4"/>
      <c r="L152" s="4"/>
      <c r="M152" s="4"/>
      <c r="N152" s="4"/>
    </row>
    <row r="153" spans="1:14">
      <c r="A153" s="4"/>
      <c r="B153" s="4"/>
      <c r="C153" s="390"/>
      <c r="D153" s="390"/>
      <c r="E153" s="391"/>
      <c r="F153" s="4"/>
      <c r="G153" s="4"/>
      <c r="H153" s="4"/>
      <c r="I153" s="4"/>
      <c r="J153" s="4"/>
      <c r="K153" s="4"/>
      <c r="L153" s="4"/>
      <c r="M153" s="4"/>
      <c r="N153" s="4"/>
    </row>
    <row r="154" spans="1:14">
      <c r="A154" s="4"/>
      <c r="B154" s="4"/>
      <c r="C154" s="390"/>
      <c r="D154" s="390"/>
      <c r="E154" s="391"/>
      <c r="F154" s="4"/>
      <c r="G154" s="4"/>
      <c r="H154" s="4"/>
      <c r="I154" s="4"/>
      <c r="J154" s="4"/>
      <c r="K154" s="4"/>
      <c r="L154" s="4"/>
      <c r="M154" s="4"/>
      <c r="N154" s="4"/>
    </row>
    <row r="155" spans="1:14">
      <c r="A155" s="4"/>
      <c r="B155" s="4"/>
      <c r="C155" s="390"/>
      <c r="D155" s="390"/>
      <c r="E155" s="391"/>
      <c r="F155" s="4"/>
      <c r="G155" s="4"/>
      <c r="H155" s="4"/>
      <c r="I155" s="4"/>
      <c r="J155" s="4"/>
      <c r="K155" s="4"/>
      <c r="L155" s="4"/>
      <c r="M155" s="4"/>
      <c r="N155" s="4"/>
    </row>
    <row r="156" spans="1:14">
      <c r="A156" s="4"/>
      <c r="B156" s="4"/>
      <c r="C156" s="390"/>
      <c r="D156" s="390"/>
      <c r="E156" s="391"/>
      <c r="F156" s="4"/>
      <c r="G156" s="4"/>
      <c r="H156" s="4"/>
      <c r="I156" s="4"/>
      <c r="J156" s="4"/>
      <c r="K156" s="4"/>
      <c r="L156" s="4"/>
      <c r="M156" s="4"/>
      <c r="N156" s="4"/>
    </row>
    <row r="157" spans="1:14">
      <c r="A157" s="4"/>
      <c r="B157" s="4"/>
      <c r="C157" s="390"/>
      <c r="D157" s="390"/>
      <c r="E157" s="391"/>
      <c r="F157" s="4"/>
      <c r="G157" s="4"/>
      <c r="H157" s="4"/>
      <c r="I157" s="4"/>
      <c r="J157" s="4"/>
      <c r="K157" s="4"/>
      <c r="L157" s="4"/>
      <c r="M157" s="4"/>
      <c r="N157" s="4"/>
    </row>
    <row r="158" spans="1:14">
      <c r="A158" s="4"/>
      <c r="B158" s="4"/>
      <c r="C158" s="390"/>
      <c r="D158" s="390"/>
      <c r="E158" s="391"/>
      <c r="F158" s="4"/>
      <c r="G158" s="4"/>
      <c r="H158" s="4"/>
      <c r="I158" s="4"/>
      <c r="J158" s="4"/>
      <c r="K158" s="4"/>
      <c r="L158" s="4"/>
      <c r="M158" s="4"/>
      <c r="N158" s="4"/>
    </row>
    <row r="159" spans="1:14">
      <c r="A159" s="4"/>
      <c r="B159" s="4"/>
      <c r="C159" s="390"/>
      <c r="D159" s="390"/>
      <c r="E159" s="391"/>
      <c r="F159" s="4"/>
      <c r="G159" s="4"/>
      <c r="H159" s="4"/>
      <c r="I159" s="4"/>
      <c r="J159" s="4"/>
      <c r="K159" s="4"/>
      <c r="L159" s="4"/>
      <c r="M159" s="4"/>
      <c r="N159" s="4"/>
    </row>
    <row r="160" spans="1:14">
      <c r="A160" s="4"/>
      <c r="B160" s="4"/>
      <c r="C160" s="390"/>
      <c r="D160" s="390"/>
      <c r="E160" s="391"/>
      <c r="F160" s="4"/>
      <c r="G160" s="4"/>
      <c r="H160" s="4"/>
      <c r="I160" s="4"/>
      <c r="J160" s="4"/>
      <c r="K160" s="4"/>
      <c r="L160" s="4"/>
      <c r="M160" s="4"/>
      <c r="N160" s="4"/>
    </row>
    <row r="161" spans="1:14">
      <c r="A161" s="4"/>
      <c r="B161" s="4"/>
      <c r="C161" s="390"/>
      <c r="D161" s="390"/>
      <c r="E161" s="391"/>
      <c r="F161" s="4"/>
      <c r="G161" s="4"/>
      <c r="H161" s="4"/>
      <c r="I161" s="4"/>
      <c r="J161" s="4"/>
      <c r="K161" s="4"/>
      <c r="L161" s="4"/>
      <c r="M161" s="4"/>
      <c r="N161" s="4"/>
    </row>
    <row r="162" spans="1:14">
      <c r="A162" s="4"/>
      <c r="B162" s="4"/>
      <c r="C162" s="390"/>
      <c r="D162" s="390"/>
      <c r="E162" s="391"/>
      <c r="F162" s="4"/>
      <c r="G162" s="4"/>
      <c r="H162" s="4"/>
      <c r="I162" s="4"/>
      <c r="J162" s="4"/>
      <c r="K162" s="4"/>
      <c r="L162" s="4"/>
      <c r="M162" s="4"/>
      <c r="N162" s="4"/>
    </row>
    <row r="163" spans="1:14">
      <c r="A163" s="4"/>
      <c r="B163" s="4"/>
      <c r="C163" s="390"/>
      <c r="D163" s="390"/>
      <c r="E163" s="391"/>
      <c r="F163" s="4"/>
      <c r="G163" s="4"/>
      <c r="H163" s="4"/>
      <c r="I163" s="4"/>
      <c r="J163" s="4"/>
      <c r="K163" s="4"/>
      <c r="L163" s="4"/>
      <c r="M163" s="4"/>
      <c r="N163" s="4"/>
    </row>
    <row r="164" spans="1:14">
      <c r="A164" s="4"/>
      <c r="B164" s="4"/>
      <c r="C164" s="390"/>
      <c r="D164" s="390"/>
      <c r="E164" s="391"/>
      <c r="F164" s="4"/>
      <c r="G164" s="4"/>
      <c r="H164" s="4"/>
      <c r="I164" s="4"/>
      <c r="J164" s="4"/>
      <c r="K164" s="4"/>
      <c r="L164" s="4"/>
      <c r="M164" s="4"/>
      <c r="N164" s="4"/>
    </row>
    <row r="165" spans="1:14">
      <c r="A165" s="4"/>
      <c r="B165" s="4"/>
      <c r="C165" s="390"/>
      <c r="D165" s="390"/>
      <c r="E165" s="391"/>
      <c r="F165" s="4"/>
      <c r="G165" s="4"/>
      <c r="H165" s="4"/>
      <c r="I165" s="4"/>
      <c r="J165" s="4"/>
      <c r="K165" s="4"/>
      <c r="L165" s="4"/>
      <c r="M165" s="4"/>
      <c r="N165" s="4"/>
    </row>
    <row r="166" spans="1:14">
      <c r="A166" s="4"/>
      <c r="B166" s="4"/>
      <c r="C166" s="390"/>
      <c r="D166" s="390"/>
      <c r="E166" s="391"/>
      <c r="F166" s="4"/>
      <c r="G166" s="4"/>
      <c r="H166" s="4"/>
      <c r="I166" s="4"/>
      <c r="J166" s="4"/>
      <c r="K166" s="4"/>
      <c r="L166" s="4"/>
      <c r="M166" s="4"/>
      <c r="N166" s="4"/>
    </row>
    <row r="167" spans="1:14">
      <c r="A167" s="4"/>
      <c r="B167" s="4"/>
      <c r="C167" s="390"/>
      <c r="D167" s="390"/>
      <c r="E167" s="391"/>
      <c r="F167" s="4"/>
      <c r="G167" s="4"/>
      <c r="H167" s="4"/>
      <c r="I167" s="4"/>
      <c r="J167" s="4"/>
      <c r="K167" s="4"/>
      <c r="L167" s="4"/>
      <c r="M167" s="4"/>
      <c r="N167" s="4"/>
    </row>
    <row r="168" spans="1:14">
      <c r="A168" s="4"/>
      <c r="B168" s="4"/>
      <c r="C168" s="390"/>
      <c r="D168" s="390"/>
      <c r="E168" s="391"/>
      <c r="F168" s="4"/>
      <c r="G168" s="4"/>
      <c r="H168" s="4"/>
      <c r="I168" s="4"/>
      <c r="J168" s="4"/>
      <c r="K168" s="4"/>
      <c r="L168" s="4"/>
      <c r="M168" s="4"/>
      <c r="N168" s="4"/>
    </row>
    <row r="169" spans="1:14">
      <c r="A169" s="4"/>
      <c r="B169" s="4"/>
      <c r="C169" s="390"/>
      <c r="D169" s="390"/>
      <c r="E169" s="391"/>
      <c r="F169" s="4"/>
      <c r="G169" s="4"/>
      <c r="H169" s="4"/>
      <c r="I169" s="4"/>
      <c r="J169" s="4"/>
      <c r="K169" s="4"/>
      <c r="L169" s="4"/>
      <c r="M169" s="4"/>
      <c r="N169" s="4"/>
    </row>
    <row r="170" spans="1:14">
      <c r="A170" s="4"/>
      <c r="B170" s="4"/>
      <c r="C170" s="390"/>
      <c r="D170" s="390"/>
      <c r="E170" s="391"/>
      <c r="F170" s="4"/>
      <c r="G170" s="4"/>
      <c r="H170" s="4"/>
      <c r="I170" s="4"/>
      <c r="J170" s="4"/>
      <c r="K170" s="4"/>
      <c r="L170" s="4"/>
      <c r="M170" s="4"/>
      <c r="N170" s="4"/>
    </row>
    <row r="171" spans="1:14">
      <c r="A171" s="4"/>
      <c r="B171" s="4"/>
      <c r="C171" s="390"/>
      <c r="D171" s="390"/>
      <c r="E171" s="391"/>
      <c r="F171" s="4"/>
      <c r="G171" s="4"/>
      <c r="H171" s="4"/>
      <c r="I171" s="4"/>
      <c r="J171" s="4"/>
      <c r="K171" s="4"/>
      <c r="L171" s="4"/>
      <c r="M171" s="4"/>
      <c r="N171" s="4"/>
    </row>
    <row r="172" spans="1:14">
      <c r="A172" s="4"/>
      <c r="B172" s="4"/>
      <c r="C172" s="390"/>
      <c r="D172" s="390"/>
      <c r="E172" s="391"/>
      <c r="F172" s="4"/>
      <c r="G172" s="4"/>
      <c r="H172" s="4"/>
      <c r="I172" s="4"/>
      <c r="J172" s="4"/>
      <c r="K172" s="4"/>
      <c r="L172" s="4"/>
      <c r="M172" s="4"/>
      <c r="N172" s="4"/>
    </row>
    <row r="173" spans="1:14">
      <c r="A173" s="4"/>
      <c r="B173" s="4"/>
      <c r="C173" s="390"/>
      <c r="D173" s="390"/>
      <c r="E173" s="391"/>
      <c r="F173" s="4"/>
      <c r="G173" s="4"/>
      <c r="H173" s="4"/>
      <c r="I173" s="4"/>
      <c r="J173" s="4"/>
      <c r="K173" s="4"/>
      <c r="L173" s="4"/>
      <c r="M173" s="4"/>
      <c r="N173" s="4"/>
    </row>
    <row r="174" spans="1:14">
      <c r="A174" s="4"/>
      <c r="B174" s="4"/>
      <c r="C174" s="390"/>
      <c r="D174" s="390"/>
      <c r="E174" s="391"/>
      <c r="F174" s="4"/>
      <c r="G174" s="4"/>
      <c r="H174" s="4"/>
      <c r="I174" s="4"/>
      <c r="J174" s="4"/>
      <c r="K174" s="4"/>
      <c r="L174" s="4"/>
      <c r="M174" s="4"/>
      <c r="N174" s="4"/>
    </row>
    <row r="175" spans="1:14">
      <c r="A175" s="4"/>
      <c r="B175" s="4"/>
      <c r="C175" s="390"/>
      <c r="D175" s="390"/>
      <c r="E175" s="391"/>
      <c r="F175" s="4"/>
      <c r="G175" s="4"/>
      <c r="H175" s="4"/>
      <c r="I175" s="4"/>
      <c r="J175" s="4"/>
      <c r="K175" s="4"/>
      <c r="L175" s="4"/>
      <c r="M175" s="4"/>
      <c r="N175" s="4"/>
    </row>
    <row r="176" spans="1:14">
      <c r="A176" s="4"/>
      <c r="B176" s="4"/>
      <c r="C176" s="390"/>
      <c r="D176" s="390"/>
      <c r="E176" s="391"/>
      <c r="F176" s="4"/>
      <c r="G176" s="4"/>
      <c r="H176" s="4"/>
      <c r="I176" s="4"/>
      <c r="J176" s="4"/>
      <c r="K176" s="4"/>
      <c r="L176" s="4"/>
      <c r="M176" s="4"/>
      <c r="N176" s="4"/>
    </row>
    <row r="177" spans="1:14">
      <c r="A177" s="4"/>
      <c r="B177" s="4"/>
      <c r="C177" s="390"/>
      <c r="D177" s="390"/>
      <c r="E177" s="391"/>
      <c r="F177" s="4"/>
      <c r="G177" s="4"/>
      <c r="H177" s="4"/>
      <c r="I177" s="4"/>
      <c r="J177" s="4"/>
      <c r="K177" s="4"/>
      <c r="L177" s="4"/>
      <c r="M177" s="4"/>
      <c r="N177" s="4"/>
    </row>
    <row r="178" spans="1:14">
      <c r="A178" s="4"/>
      <c r="B178" s="4"/>
      <c r="C178" s="390"/>
      <c r="D178" s="390"/>
      <c r="E178" s="391"/>
      <c r="F178" s="4"/>
      <c r="G178" s="4"/>
      <c r="H178" s="4"/>
      <c r="I178" s="4"/>
      <c r="J178" s="4"/>
      <c r="K178" s="4"/>
      <c r="L178" s="4"/>
      <c r="M178" s="4"/>
      <c r="N178" s="4"/>
    </row>
    <row r="179" spans="1:14">
      <c r="A179" s="4"/>
      <c r="B179" s="4"/>
      <c r="C179" s="390"/>
      <c r="D179" s="390"/>
      <c r="E179" s="391"/>
      <c r="F179" s="4"/>
      <c r="G179" s="4"/>
      <c r="H179" s="4"/>
      <c r="I179" s="4"/>
      <c r="J179" s="4"/>
      <c r="K179" s="4"/>
      <c r="L179" s="4"/>
      <c r="M179" s="4"/>
      <c r="N179" s="4"/>
    </row>
    <row r="180" spans="1:14">
      <c r="A180" s="4"/>
      <c r="B180" s="4"/>
      <c r="C180" s="390"/>
      <c r="D180" s="390"/>
      <c r="E180" s="391"/>
      <c r="F180" s="4"/>
      <c r="G180" s="4"/>
      <c r="H180" s="4"/>
      <c r="I180" s="4"/>
      <c r="J180" s="4"/>
      <c r="K180" s="4"/>
      <c r="L180" s="4"/>
      <c r="M180" s="4"/>
      <c r="N180" s="4"/>
    </row>
    <row r="181" spans="1:14">
      <c r="A181" s="4"/>
      <c r="B181" s="4"/>
      <c r="C181" s="390"/>
      <c r="D181" s="390"/>
      <c r="E181" s="391"/>
      <c r="F181" s="4"/>
      <c r="G181" s="4"/>
      <c r="H181" s="4"/>
      <c r="I181" s="4"/>
      <c r="J181" s="4"/>
      <c r="K181" s="4"/>
      <c r="L181" s="4"/>
      <c r="M181" s="4"/>
      <c r="N181" s="4"/>
    </row>
    <row r="182" spans="1:14">
      <c r="A182" s="4"/>
      <c r="B182" s="4"/>
      <c r="C182" s="390"/>
      <c r="D182" s="390"/>
      <c r="E182" s="391"/>
      <c r="F182" s="4"/>
      <c r="G182" s="4"/>
      <c r="H182" s="4"/>
      <c r="I182" s="4"/>
      <c r="J182" s="4"/>
      <c r="K182" s="4"/>
      <c r="L182" s="4"/>
      <c r="M182" s="4"/>
      <c r="N182" s="4"/>
    </row>
    <row r="183" spans="1:14">
      <c r="A183" s="4"/>
      <c r="B183" s="4"/>
      <c r="C183" s="390"/>
      <c r="D183" s="390"/>
      <c r="E183" s="391"/>
      <c r="F183" s="4"/>
      <c r="G183" s="4"/>
      <c r="H183" s="4"/>
      <c r="I183" s="4"/>
      <c r="J183" s="4"/>
      <c r="K183" s="4"/>
      <c r="L183" s="4"/>
      <c r="M183" s="4"/>
      <c r="N183" s="4"/>
    </row>
    <row r="184" spans="1:14">
      <c r="A184" s="4"/>
      <c r="B184" s="4"/>
      <c r="C184" s="390"/>
      <c r="D184" s="390"/>
      <c r="E184" s="391"/>
      <c r="F184" s="4"/>
      <c r="G184" s="4"/>
      <c r="H184" s="4"/>
      <c r="I184" s="4"/>
      <c r="J184" s="4"/>
      <c r="K184" s="4"/>
      <c r="L184" s="4"/>
      <c r="M184" s="4"/>
      <c r="N184" s="4"/>
    </row>
    <row r="185" spans="1:14">
      <c r="A185" s="4"/>
      <c r="B185" s="4"/>
      <c r="C185" s="390"/>
      <c r="D185" s="390"/>
      <c r="E185" s="391"/>
      <c r="F185" s="4"/>
      <c r="G185" s="4"/>
      <c r="H185" s="4"/>
      <c r="I185" s="4"/>
      <c r="J185" s="4"/>
      <c r="K185" s="4"/>
      <c r="L185" s="4"/>
      <c r="M185" s="4"/>
      <c r="N185" s="4"/>
    </row>
    <row r="186" spans="1:14">
      <c r="A186" s="4"/>
      <c r="B186" s="4"/>
      <c r="C186" s="390"/>
      <c r="D186" s="390"/>
      <c r="E186" s="391"/>
      <c r="F186" s="4"/>
      <c r="G186" s="4"/>
      <c r="H186" s="4"/>
      <c r="I186" s="4"/>
      <c r="J186" s="4"/>
      <c r="K186" s="4"/>
      <c r="L186" s="4"/>
      <c r="M186" s="4"/>
      <c r="N186" s="4"/>
    </row>
    <row r="187" spans="1:14">
      <c r="A187" s="4"/>
      <c r="B187" s="4"/>
      <c r="C187" s="390"/>
      <c r="D187" s="390"/>
      <c r="E187" s="391"/>
      <c r="F187" s="4"/>
      <c r="G187" s="4"/>
      <c r="H187" s="4"/>
      <c r="I187" s="4"/>
      <c r="J187" s="4"/>
      <c r="K187" s="4"/>
      <c r="L187" s="4"/>
      <c r="M187" s="4"/>
      <c r="N187" s="4"/>
    </row>
    <row r="188" spans="1:14">
      <c r="A188" s="4"/>
      <c r="B188" s="4"/>
      <c r="C188" s="390"/>
      <c r="D188" s="390"/>
      <c r="E188" s="391"/>
      <c r="F188" s="4"/>
      <c r="G188" s="4"/>
      <c r="H188" s="4"/>
      <c r="I188" s="4"/>
      <c r="J188" s="4"/>
      <c r="K188" s="4"/>
      <c r="L188" s="4"/>
      <c r="M188" s="4"/>
      <c r="N188" s="4"/>
    </row>
    <row r="189" spans="1:14">
      <c r="A189" s="4"/>
      <c r="B189" s="4"/>
      <c r="C189" s="390"/>
      <c r="D189" s="390"/>
      <c r="E189" s="391"/>
      <c r="F189" s="4"/>
      <c r="G189" s="4"/>
      <c r="H189" s="4"/>
      <c r="I189" s="4"/>
      <c r="J189" s="4"/>
      <c r="K189" s="4"/>
      <c r="L189" s="4"/>
      <c r="M189" s="4"/>
      <c r="N189" s="4"/>
    </row>
    <row r="190" spans="1:14">
      <c r="A190" s="4"/>
      <c r="B190" s="4"/>
      <c r="C190" s="390"/>
      <c r="D190" s="390"/>
      <c r="E190" s="391"/>
      <c r="F190" s="4"/>
      <c r="G190" s="4"/>
      <c r="H190" s="4"/>
      <c r="I190" s="4"/>
      <c r="J190" s="4"/>
      <c r="K190" s="4"/>
      <c r="L190" s="4"/>
      <c r="M190" s="4"/>
      <c r="N190" s="4"/>
    </row>
    <row r="191" spans="1:14">
      <c r="A191" s="4"/>
      <c r="B191" s="4"/>
      <c r="C191" s="390"/>
      <c r="D191" s="390"/>
      <c r="E191" s="391"/>
      <c r="F191" s="4"/>
      <c r="G191" s="4"/>
      <c r="H191" s="4"/>
      <c r="I191" s="4"/>
      <c r="J191" s="4"/>
      <c r="K191" s="4"/>
      <c r="L191" s="4"/>
      <c r="M191" s="4"/>
      <c r="N191" s="4"/>
    </row>
    <row r="192" spans="1:14">
      <c r="A192" s="4"/>
      <c r="B192" s="4"/>
      <c r="C192" s="390"/>
      <c r="D192" s="390"/>
      <c r="E192" s="391"/>
      <c r="F192" s="4"/>
      <c r="G192" s="4"/>
      <c r="H192" s="4"/>
      <c r="I192" s="4"/>
      <c r="J192" s="4"/>
      <c r="K192" s="4"/>
      <c r="L192" s="4"/>
      <c r="M192" s="4"/>
      <c r="N192" s="4"/>
    </row>
    <row r="193" spans="1:14">
      <c r="A193" s="4"/>
      <c r="B193" s="4"/>
      <c r="C193" s="390"/>
      <c r="D193" s="390"/>
      <c r="E193" s="391"/>
      <c r="F193" s="4"/>
      <c r="G193" s="4"/>
      <c r="H193" s="4"/>
      <c r="I193" s="4"/>
      <c r="J193" s="4"/>
      <c r="K193" s="4"/>
      <c r="L193" s="4"/>
      <c r="M193" s="4"/>
      <c r="N193" s="4"/>
    </row>
    <row r="194" spans="1:14">
      <c r="A194" s="4"/>
      <c r="B194" s="4"/>
      <c r="C194" s="390"/>
      <c r="D194" s="390"/>
      <c r="E194" s="391"/>
      <c r="F194" s="4"/>
      <c r="G194" s="4"/>
      <c r="H194" s="4"/>
      <c r="I194" s="4"/>
      <c r="J194" s="4"/>
      <c r="K194" s="4"/>
      <c r="L194" s="4"/>
      <c r="M194" s="4"/>
      <c r="N194" s="4"/>
    </row>
    <row r="195" spans="1:14">
      <c r="A195" s="4"/>
      <c r="B195" s="4"/>
      <c r="C195" s="390"/>
      <c r="D195" s="390"/>
      <c r="E195" s="391"/>
      <c r="F195" s="4"/>
      <c r="G195" s="4"/>
      <c r="H195" s="4"/>
      <c r="I195" s="4"/>
      <c r="J195" s="4"/>
      <c r="K195" s="4"/>
      <c r="L195" s="4"/>
      <c r="M195" s="4"/>
      <c r="N195" s="4"/>
    </row>
    <row r="196" spans="1:14">
      <c r="A196" s="4"/>
      <c r="B196" s="4"/>
      <c r="C196" s="390"/>
      <c r="D196" s="390"/>
      <c r="E196" s="391"/>
      <c r="F196" s="4"/>
      <c r="G196" s="4"/>
      <c r="H196" s="4"/>
      <c r="I196" s="4"/>
      <c r="J196" s="4"/>
      <c r="K196" s="4"/>
      <c r="L196" s="4"/>
      <c r="M196" s="4"/>
      <c r="N196" s="4"/>
    </row>
    <row r="197" spans="1:14">
      <c r="A197" s="4"/>
      <c r="B197" s="4"/>
      <c r="C197" s="390"/>
      <c r="D197" s="390"/>
      <c r="E197" s="391"/>
      <c r="F197" s="4"/>
      <c r="G197" s="4"/>
      <c r="H197" s="4"/>
      <c r="I197" s="4"/>
      <c r="J197" s="4"/>
      <c r="K197" s="4"/>
      <c r="L197" s="4"/>
      <c r="M197" s="4"/>
      <c r="N197" s="4"/>
    </row>
    <row r="198" spans="1:14">
      <c r="A198" s="4"/>
      <c r="B198" s="4"/>
      <c r="C198" s="390"/>
      <c r="D198" s="390"/>
      <c r="E198" s="391"/>
      <c r="F198" s="4"/>
      <c r="G198" s="4"/>
      <c r="H198" s="4"/>
      <c r="I198" s="4"/>
      <c r="J198" s="4"/>
      <c r="K198" s="4"/>
      <c r="L198" s="4"/>
      <c r="M198" s="4"/>
      <c r="N198" s="4"/>
    </row>
    <row r="199" spans="1:14">
      <c r="A199" s="4"/>
      <c r="B199" s="4"/>
      <c r="C199" s="390"/>
      <c r="D199" s="390"/>
      <c r="E199" s="391"/>
      <c r="F199" s="4"/>
      <c r="G199" s="4"/>
      <c r="H199" s="4"/>
      <c r="I199" s="4"/>
      <c r="J199" s="4"/>
      <c r="K199" s="4"/>
      <c r="L199" s="4"/>
      <c r="M199" s="4"/>
      <c r="N199" s="4"/>
    </row>
    <row r="200" spans="1:14">
      <c r="A200" s="4"/>
      <c r="B200" s="4"/>
      <c r="C200" s="390"/>
      <c r="D200" s="390"/>
      <c r="E200" s="391"/>
      <c r="F200" s="4"/>
      <c r="G200" s="4"/>
      <c r="H200" s="4"/>
      <c r="I200" s="4"/>
      <c r="J200" s="4"/>
      <c r="K200" s="4"/>
      <c r="L200" s="4"/>
      <c r="M200" s="4"/>
      <c r="N200" s="4"/>
    </row>
    <row r="201" spans="1:14">
      <c r="A201" s="4"/>
      <c r="B201" s="4"/>
      <c r="C201" s="390"/>
      <c r="D201" s="390"/>
      <c r="E201" s="391"/>
      <c r="F201" s="4"/>
      <c r="G201" s="4"/>
      <c r="H201" s="4"/>
      <c r="I201" s="4"/>
      <c r="J201" s="4"/>
      <c r="K201" s="4"/>
      <c r="L201" s="4"/>
      <c r="M201" s="4"/>
      <c r="N201" s="4"/>
    </row>
    <row r="202" spans="1:14">
      <c r="A202" s="4"/>
      <c r="B202" s="4"/>
      <c r="C202" s="390"/>
      <c r="D202" s="390"/>
      <c r="E202" s="391"/>
      <c r="F202" s="4"/>
      <c r="G202" s="4"/>
      <c r="H202" s="4"/>
      <c r="I202" s="4"/>
      <c r="J202" s="4"/>
      <c r="K202" s="4"/>
      <c r="L202" s="4"/>
      <c r="M202" s="4"/>
      <c r="N202" s="4"/>
    </row>
    <row r="203" spans="1:14">
      <c r="A203" s="4"/>
      <c r="B203" s="4"/>
      <c r="C203" s="390"/>
      <c r="D203" s="390"/>
      <c r="E203" s="391"/>
      <c r="F203" s="4"/>
      <c r="G203" s="4"/>
      <c r="H203" s="4"/>
      <c r="I203" s="4"/>
      <c r="J203" s="4"/>
      <c r="K203" s="4"/>
      <c r="L203" s="4"/>
      <c r="M203" s="4"/>
      <c r="N203" s="4"/>
    </row>
    <row r="204" spans="1:14">
      <c r="A204" s="4"/>
      <c r="B204" s="4"/>
      <c r="C204" s="390"/>
      <c r="D204" s="390"/>
      <c r="E204" s="391"/>
      <c r="F204" s="4"/>
      <c r="G204" s="4"/>
      <c r="H204" s="4"/>
      <c r="I204" s="4"/>
      <c r="J204" s="4"/>
      <c r="K204" s="4"/>
      <c r="L204" s="4"/>
      <c r="M204" s="4"/>
      <c r="N204" s="4"/>
    </row>
    <row r="205" spans="1:14">
      <c r="A205" s="4"/>
      <c r="B205" s="4"/>
      <c r="C205" s="390"/>
      <c r="D205" s="390"/>
      <c r="E205" s="391"/>
      <c r="F205" s="4"/>
      <c r="G205" s="4"/>
      <c r="H205" s="4"/>
      <c r="I205" s="4"/>
      <c r="J205" s="4"/>
      <c r="K205" s="4"/>
      <c r="L205" s="4"/>
      <c r="M205" s="4"/>
      <c r="N205" s="4"/>
    </row>
    <row r="206" spans="1:14">
      <c r="A206" s="4"/>
      <c r="B206" s="4"/>
      <c r="C206" s="390"/>
      <c r="D206" s="390"/>
      <c r="E206" s="391"/>
      <c r="F206" s="4"/>
      <c r="G206" s="4"/>
      <c r="H206" s="4"/>
      <c r="I206" s="4"/>
      <c r="J206" s="4"/>
      <c r="K206" s="4"/>
      <c r="L206" s="4"/>
      <c r="M206" s="4"/>
      <c r="N206" s="4"/>
    </row>
    <row r="207" spans="1:14">
      <c r="A207" s="4"/>
      <c r="B207" s="4"/>
      <c r="C207" s="390"/>
      <c r="D207" s="390"/>
      <c r="E207" s="391"/>
      <c r="F207" s="4"/>
      <c r="G207" s="4"/>
      <c r="H207" s="4"/>
      <c r="I207" s="4"/>
      <c r="J207" s="4"/>
      <c r="K207" s="4"/>
      <c r="L207" s="4"/>
      <c r="M207" s="4"/>
      <c r="N207" s="4"/>
    </row>
    <row r="208" spans="1:14">
      <c r="A208" s="4"/>
      <c r="B208" s="4"/>
      <c r="C208" s="390"/>
      <c r="D208" s="390"/>
      <c r="E208" s="391"/>
      <c r="F208" s="4"/>
      <c r="G208" s="4"/>
      <c r="H208" s="4"/>
      <c r="I208" s="4"/>
      <c r="J208" s="4"/>
      <c r="K208" s="4"/>
      <c r="L208" s="4"/>
      <c r="M208" s="4"/>
      <c r="N208" s="4"/>
    </row>
    <row r="209" spans="1:14">
      <c r="A209" s="4"/>
      <c r="B209" s="4"/>
      <c r="C209" s="390"/>
      <c r="D209" s="390"/>
      <c r="E209" s="391"/>
      <c r="F209" s="4"/>
      <c r="G209" s="4"/>
      <c r="H209" s="4"/>
      <c r="I209" s="4"/>
      <c r="J209" s="4"/>
      <c r="K209" s="4"/>
      <c r="L209" s="4"/>
      <c r="M209" s="4"/>
      <c r="N209" s="4"/>
    </row>
    <row r="210" spans="1:14">
      <c r="A210" s="4"/>
      <c r="B210" s="4"/>
      <c r="C210" s="390"/>
      <c r="D210" s="390"/>
      <c r="E210" s="391"/>
      <c r="F210" s="4"/>
      <c r="G210" s="4"/>
      <c r="H210" s="4"/>
      <c r="I210" s="4"/>
      <c r="J210" s="4"/>
      <c r="K210" s="4"/>
      <c r="L210" s="4"/>
      <c r="M210" s="4"/>
      <c r="N210" s="4"/>
    </row>
    <row r="211" spans="1:14">
      <c r="A211" s="4"/>
      <c r="B211" s="4"/>
      <c r="C211" s="390"/>
      <c r="D211" s="390"/>
      <c r="E211" s="391"/>
      <c r="F211" s="4"/>
      <c r="G211" s="4"/>
      <c r="H211" s="4"/>
      <c r="I211" s="4"/>
      <c r="J211" s="4"/>
      <c r="K211" s="4"/>
      <c r="L211" s="4"/>
      <c r="M211" s="4"/>
      <c r="N211" s="4"/>
    </row>
    <row r="212" spans="1:14">
      <c r="A212" s="4"/>
      <c r="B212" s="4"/>
      <c r="C212" s="390"/>
      <c r="D212" s="390"/>
      <c r="E212" s="391"/>
      <c r="F212" s="4"/>
      <c r="G212" s="4"/>
      <c r="H212" s="4"/>
      <c r="I212" s="4"/>
      <c r="J212" s="4"/>
      <c r="K212" s="4"/>
      <c r="L212" s="4"/>
      <c r="M212" s="4"/>
      <c r="N212" s="4"/>
    </row>
    <row r="213" spans="1:14">
      <c r="A213" s="4"/>
      <c r="B213" s="4"/>
      <c r="C213" s="390"/>
      <c r="D213" s="390"/>
      <c r="E213" s="391"/>
      <c r="F213" s="4"/>
      <c r="G213" s="4"/>
      <c r="H213" s="4"/>
      <c r="I213" s="4"/>
      <c r="J213" s="4"/>
      <c r="K213" s="4"/>
      <c r="L213" s="4"/>
      <c r="M213" s="4"/>
      <c r="N213" s="4"/>
    </row>
    <row r="214" spans="1:14">
      <c r="A214" s="4"/>
      <c r="B214" s="4"/>
      <c r="C214" s="390"/>
      <c r="D214" s="390"/>
      <c r="E214" s="391"/>
      <c r="F214" s="4"/>
      <c r="G214" s="4"/>
      <c r="H214" s="4"/>
      <c r="I214" s="4"/>
      <c r="J214" s="4"/>
      <c r="K214" s="4"/>
      <c r="L214" s="4"/>
      <c r="M214" s="4"/>
      <c r="N214" s="4"/>
    </row>
    <row r="215" spans="1:14">
      <c r="A215" s="4"/>
      <c r="B215" s="4"/>
      <c r="C215" s="390"/>
      <c r="D215" s="390"/>
      <c r="E215" s="391"/>
      <c r="F215" s="4"/>
      <c r="G215" s="4"/>
      <c r="H215" s="4"/>
      <c r="I215" s="4"/>
      <c r="J215" s="4"/>
      <c r="K215" s="4"/>
      <c r="L215" s="4"/>
      <c r="M215" s="4"/>
      <c r="N215" s="4"/>
    </row>
    <row r="216" spans="1:14">
      <c r="A216" s="4"/>
      <c r="B216" s="4"/>
      <c r="C216" s="390"/>
      <c r="D216" s="390"/>
      <c r="E216" s="391"/>
      <c r="F216" s="4"/>
      <c r="G216" s="4"/>
      <c r="H216" s="4"/>
      <c r="I216" s="4"/>
      <c r="J216" s="4"/>
      <c r="K216" s="4"/>
      <c r="L216" s="4"/>
      <c r="M216" s="4"/>
      <c r="N216" s="4"/>
    </row>
    <row r="217" spans="1:14">
      <c r="A217" s="4"/>
      <c r="B217" s="4"/>
      <c r="C217" s="390"/>
      <c r="D217" s="390"/>
      <c r="E217" s="391"/>
      <c r="F217" s="4"/>
      <c r="G217" s="4"/>
      <c r="H217" s="4"/>
      <c r="I217" s="4"/>
      <c r="J217" s="4"/>
      <c r="K217" s="4"/>
      <c r="L217" s="4"/>
      <c r="M217" s="4"/>
      <c r="N217" s="4"/>
    </row>
    <row r="218" spans="1:14">
      <c r="A218" s="4"/>
      <c r="B218" s="4"/>
      <c r="C218" s="390"/>
      <c r="D218" s="390"/>
      <c r="E218" s="391"/>
      <c r="F218" s="4"/>
      <c r="G218" s="4"/>
      <c r="H218" s="4"/>
      <c r="I218" s="4"/>
      <c r="J218" s="4"/>
      <c r="K218" s="4"/>
      <c r="L218" s="4"/>
      <c r="M218" s="4"/>
      <c r="N218" s="4"/>
    </row>
    <row r="219" spans="1:14">
      <c r="A219" s="4"/>
      <c r="B219" s="4"/>
      <c r="C219" s="390"/>
      <c r="D219" s="390"/>
      <c r="E219" s="391"/>
      <c r="F219" s="4"/>
      <c r="G219" s="4"/>
      <c r="H219" s="4"/>
      <c r="I219" s="4"/>
      <c r="J219" s="4"/>
      <c r="K219" s="4"/>
      <c r="L219" s="4"/>
      <c r="M219" s="4"/>
      <c r="N219" s="4"/>
    </row>
    <row r="220" spans="1:14">
      <c r="A220" s="4"/>
      <c r="B220" s="4"/>
      <c r="C220" s="390"/>
      <c r="D220" s="390"/>
      <c r="E220" s="391"/>
      <c r="F220" s="4"/>
      <c r="G220" s="4"/>
      <c r="H220" s="4"/>
      <c r="I220" s="4"/>
      <c r="J220" s="4"/>
      <c r="K220" s="4"/>
      <c r="L220" s="4"/>
      <c r="M220" s="4"/>
      <c r="N220" s="4"/>
    </row>
    <row r="221" spans="1:14">
      <c r="A221" s="4"/>
      <c r="B221" s="4"/>
      <c r="C221" s="390"/>
      <c r="D221" s="390"/>
      <c r="E221" s="391"/>
      <c r="F221" s="4"/>
      <c r="G221" s="4"/>
      <c r="H221" s="4"/>
      <c r="I221" s="4"/>
      <c r="J221" s="4"/>
      <c r="K221" s="4"/>
      <c r="L221" s="4"/>
      <c r="M221" s="4"/>
      <c r="N221" s="4"/>
    </row>
    <row r="222" spans="1:14">
      <c r="A222" s="4"/>
      <c r="B222" s="4"/>
      <c r="C222" s="390"/>
      <c r="D222" s="390"/>
      <c r="E222" s="391"/>
      <c r="F222" s="4"/>
      <c r="G222" s="4"/>
      <c r="H222" s="4"/>
      <c r="I222" s="4"/>
      <c r="J222" s="4"/>
      <c r="K222" s="4"/>
      <c r="L222" s="4"/>
      <c r="M222" s="4"/>
      <c r="N222" s="4"/>
    </row>
    <row r="223" spans="1:14">
      <c r="A223" s="4"/>
      <c r="B223" s="4"/>
      <c r="C223" s="390"/>
      <c r="D223" s="390"/>
      <c r="E223" s="391"/>
      <c r="F223" s="4"/>
      <c r="G223" s="4"/>
      <c r="H223" s="4"/>
      <c r="I223" s="4"/>
      <c r="J223" s="4"/>
      <c r="K223" s="4"/>
      <c r="L223" s="4"/>
      <c r="M223" s="4"/>
      <c r="N223" s="4"/>
    </row>
    <row r="224" spans="1:14">
      <c r="A224" s="4"/>
      <c r="B224" s="4"/>
      <c r="C224" s="390"/>
      <c r="D224" s="390"/>
      <c r="E224" s="391"/>
      <c r="F224" s="4"/>
      <c r="G224" s="4"/>
      <c r="H224" s="4"/>
      <c r="I224" s="4"/>
      <c r="J224" s="4"/>
      <c r="K224" s="4"/>
      <c r="L224" s="4"/>
      <c r="M224" s="4"/>
      <c r="N224" s="4"/>
    </row>
    <row r="225" spans="1:14">
      <c r="A225" s="4"/>
      <c r="B225" s="4"/>
      <c r="C225" s="390"/>
      <c r="D225" s="390"/>
      <c r="E225" s="391"/>
      <c r="F225" s="4"/>
      <c r="G225" s="4"/>
      <c r="H225" s="4"/>
      <c r="I225" s="4"/>
      <c r="J225" s="4"/>
      <c r="K225" s="4"/>
      <c r="L225" s="4"/>
      <c r="M225" s="4"/>
      <c r="N225" s="4"/>
    </row>
    <row r="226" spans="1:14">
      <c r="A226" s="4"/>
      <c r="B226" s="4"/>
      <c r="C226" s="390"/>
      <c r="D226" s="390"/>
      <c r="E226" s="391"/>
      <c r="F226" s="4"/>
      <c r="G226" s="4"/>
      <c r="H226" s="4"/>
      <c r="I226" s="4"/>
      <c r="J226" s="4"/>
      <c r="K226" s="4"/>
      <c r="L226" s="4"/>
      <c r="M226" s="4"/>
      <c r="N226" s="4"/>
    </row>
    <row r="227" spans="1:14">
      <c r="A227" s="4"/>
      <c r="B227" s="4"/>
      <c r="C227" s="390"/>
      <c r="D227" s="390"/>
      <c r="E227" s="391"/>
      <c r="F227" s="4"/>
      <c r="G227" s="4"/>
      <c r="H227" s="4"/>
      <c r="I227" s="4"/>
      <c r="J227" s="4"/>
      <c r="K227" s="4"/>
      <c r="L227" s="4"/>
      <c r="M227" s="4"/>
      <c r="N227" s="4"/>
    </row>
    <row r="228" spans="1:14">
      <c r="A228" s="4"/>
      <c r="B228" s="4"/>
      <c r="C228" s="390"/>
      <c r="D228" s="390"/>
      <c r="E228" s="391"/>
      <c r="F228" s="4"/>
      <c r="G228" s="4"/>
      <c r="H228" s="4"/>
      <c r="I228" s="4"/>
      <c r="J228" s="4"/>
      <c r="K228" s="4"/>
      <c r="L228" s="4"/>
      <c r="M228" s="4"/>
      <c r="N228" s="4"/>
    </row>
    <row r="229" spans="1:14">
      <c r="A229" s="4"/>
      <c r="B229" s="4"/>
      <c r="C229" s="390"/>
      <c r="D229" s="390"/>
      <c r="E229" s="391"/>
      <c r="F229" s="4"/>
      <c r="G229" s="4"/>
      <c r="H229" s="4"/>
      <c r="I229" s="4"/>
      <c r="J229" s="4"/>
      <c r="K229" s="4"/>
      <c r="L229" s="4"/>
      <c r="M229" s="4"/>
      <c r="N229" s="4"/>
    </row>
    <row r="230" spans="1:14">
      <c r="A230" s="4"/>
      <c r="B230" s="4"/>
      <c r="C230" s="390"/>
      <c r="D230" s="390"/>
      <c r="E230" s="391"/>
      <c r="F230" s="4"/>
      <c r="G230" s="4"/>
      <c r="H230" s="4"/>
      <c r="I230" s="4"/>
      <c r="J230" s="4"/>
      <c r="K230" s="4"/>
      <c r="L230" s="4"/>
      <c r="M230" s="4"/>
      <c r="N230" s="4"/>
    </row>
    <row r="231" spans="1:14">
      <c r="A231" s="4"/>
      <c r="B231" s="4"/>
      <c r="C231" s="390"/>
      <c r="D231" s="390"/>
      <c r="E231" s="391"/>
      <c r="F231" s="4"/>
      <c r="G231" s="4"/>
      <c r="H231" s="4"/>
      <c r="I231" s="4"/>
      <c r="J231" s="4"/>
      <c r="K231" s="4"/>
      <c r="L231" s="4"/>
      <c r="M231" s="4"/>
      <c r="N231" s="4"/>
    </row>
    <row r="232" spans="1:14">
      <c r="A232" s="4"/>
      <c r="B232" s="4"/>
      <c r="C232" s="390"/>
      <c r="D232" s="390"/>
      <c r="E232" s="391"/>
      <c r="F232" s="4"/>
      <c r="G232" s="4"/>
      <c r="H232" s="4"/>
      <c r="I232" s="4"/>
      <c r="J232" s="4"/>
      <c r="K232" s="4"/>
      <c r="L232" s="4"/>
      <c r="M232" s="4"/>
      <c r="N232" s="4"/>
    </row>
    <row r="233" spans="1:14">
      <c r="A233" s="4"/>
      <c r="B233" s="4"/>
      <c r="C233" s="390"/>
      <c r="D233" s="390"/>
      <c r="E233" s="391"/>
      <c r="F233" s="4"/>
      <c r="G233" s="4"/>
      <c r="H233" s="4"/>
      <c r="I233" s="4"/>
      <c r="J233" s="4"/>
      <c r="K233" s="4"/>
      <c r="L233" s="4"/>
      <c r="M233" s="4"/>
      <c r="N233" s="4"/>
    </row>
    <row r="234" spans="1:14">
      <c r="A234" s="4"/>
      <c r="B234" s="4"/>
      <c r="C234" s="390"/>
      <c r="D234" s="390"/>
      <c r="E234" s="391"/>
      <c r="F234" s="4"/>
      <c r="G234" s="4"/>
      <c r="H234" s="4"/>
      <c r="I234" s="4"/>
      <c r="J234" s="4"/>
      <c r="K234" s="4"/>
      <c r="L234" s="4"/>
      <c r="M234" s="4"/>
      <c r="N234" s="4"/>
    </row>
    <row r="235" spans="1:14">
      <c r="A235" s="4"/>
      <c r="B235" s="4"/>
      <c r="C235" s="390"/>
      <c r="D235" s="390"/>
      <c r="E235" s="391"/>
      <c r="F235" s="4"/>
      <c r="G235" s="4"/>
      <c r="H235" s="4"/>
      <c r="I235" s="4"/>
      <c r="J235" s="4"/>
      <c r="K235" s="4"/>
      <c r="L235" s="4"/>
      <c r="M235" s="4"/>
      <c r="N235" s="4"/>
    </row>
    <row r="236" spans="1:14">
      <c r="A236" s="4"/>
      <c r="B236" s="4"/>
      <c r="C236" s="390"/>
      <c r="D236" s="390"/>
      <c r="E236" s="391"/>
      <c r="F236" s="4"/>
      <c r="G236" s="4"/>
      <c r="H236" s="4"/>
      <c r="I236" s="4"/>
      <c r="J236" s="4"/>
      <c r="K236" s="4"/>
      <c r="L236" s="4"/>
      <c r="M236" s="4"/>
      <c r="N236" s="4"/>
    </row>
    <row r="237" spans="1:14">
      <c r="A237" s="4"/>
      <c r="B237" s="4"/>
      <c r="C237" s="390"/>
      <c r="D237" s="390"/>
      <c r="E237" s="391"/>
      <c r="F237" s="4"/>
      <c r="G237" s="4"/>
      <c r="H237" s="4"/>
      <c r="I237" s="4"/>
      <c r="J237" s="4"/>
      <c r="K237" s="4"/>
      <c r="L237" s="4"/>
      <c r="M237" s="4"/>
      <c r="N237" s="4"/>
    </row>
    <row r="238" spans="1:14">
      <c r="A238" s="4"/>
      <c r="B238" s="4"/>
      <c r="C238" s="390"/>
      <c r="D238" s="390"/>
      <c r="E238" s="391"/>
      <c r="F238" s="4"/>
      <c r="G238" s="4"/>
      <c r="H238" s="4"/>
      <c r="I238" s="4"/>
      <c r="J238" s="4"/>
      <c r="K238" s="4"/>
      <c r="L238" s="4"/>
      <c r="M238" s="4"/>
      <c r="N238" s="4"/>
    </row>
    <row r="239" spans="1:14">
      <c r="A239" s="4"/>
      <c r="B239" s="4"/>
      <c r="C239" s="390"/>
      <c r="D239" s="390"/>
      <c r="E239" s="391"/>
      <c r="F239" s="4"/>
      <c r="G239" s="4"/>
      <c r="H239" s="4"/>
      <c r="I239" s="4"/>
      <c r="J239" s="4"/>
      <c r="K239" s="4"/>
      <c r="L239" s="4"/>
      <c r="M239" s="4"/>
      <c r="N239" s="4"/>
    </row>
    <row r="240" spans="1:14">
      <c r="A240" s="4"/>
      <c r="B240" s="4"/>
      <c r="C240" s="390"/>
      <c r="D240" s="390"/>
      <c r="E240" s="391"/>
      <c r="F240" s="4"/>
      <c r="G240" s="4"/>
      <c r="H240" s="4"/>
      <c r="I240" s="4"/>
      <c r="J240" s="4"/>
      <c r="K240" s="4"/>
      <c r="L240" s="4"/>
      <c r="M240" s="4"/>
      <c r="N240" s="4"/>
    </row>
    <row r="241" spans="1:14">
      <c r="A241" s="4"/>
      <c r="B241" s="4"/>
      <c r="C241" s="390"/>
      <c r="D241" s="390"/>
      <c r="E241" s="391"/>
      <c r="F241" s="4"/>
      <c r="G241" s="4"/>
      <c r="H241" s="4"/>
      <c r="I241" s="4"/>
      <c r="J241" s="4"/>
      <c r="K241" s="4"/>
      <c r="L241" s="4"/>
      <c r="M241" s="4"/>
      <c r="N241" s="4"/>
    </row>
    <row r="242" spans="1:14">
      <c r="A242" s="4"/>
      <c r="B242" s="4"/>
      <c r="C242" s="390"/>
      <c r="D242" s="390"/>
      <c r="E242" s="391"/>
      <c r="F242" s="4"/>
      <c r="G242" s="4"/>
      <c r="H242" s="4"/>
      <c r="I242" s="4"/>
      <c r="J242" s="4"/>
      <c r="K242" s="4"/>
      <c r="L242" s="4"/>
      <c r="M242" s="4"/>
      <c r="N242" s="4"/>
    </row>
    <row r="243" spans="1:14">
      <c r="A243" s="4"/>
      <c r="B243" s="4"/>
      <c r="C243" s="390"/>
      <c r="D243" s="390"/>
      <c r="E243" s="391"/>
      <c r="F243" s="4"/>
      <c r="G243" s="4"/>
      <c r="H243" s="4"/>
      <c r="I243" s="4"/>
      <c r="J243" s="4"/>
      <c r="K243" s="4"/>
      <c r="L243" s="4"/>
      <c r="M243" s="4"/>
      <c r="N243" s="4"/>
    </row>
    <row r="244" spans="1:14">
      <c r="A244" s="4"/>
      <c r="B244" s="4"/>
      <c r="C244" s="390"/>
      <c r="D244" s="390"/>
      <c r="E244" s="391"/>
      <c r="F244" s="4"/>
      <c r="G244" s="4"/>
      <c r="H244" s="4"/>
      <c r="I244" s="4"/>
      <c r="J244" s="4"/>
      <c r="K244" s="4"/>
      <c r="L244" s="4"/>
      <c r="M244" s="4"/>
      <c r="N244" s="4"/>
    </row>
    <row r="245" spans="1:14">
      <c r="A245" s="4"/>
      <c r="B245" s="4"/>
      <c r="C245" s="390"/>
      <c r="D245" s="390"/>
      <c r="E245" s="391"/>
      <c r="F245" s="4"/>
      <c r="G245" s="4"/>
      <c r="H245" s="4"/>
      <c r="I245" s="4"/>
      <c r="J245" s="4"/>
      <c r="K245" s="4"/>
      <c r="L245" s="4"/>
      <c r="M245" s="4"/>
      <c r="N245" s="4"/>
    </row>
    <row r="246" spans="1:14">
      <c r="A246" s="4"/>
      <c r="B246" s="4"/>
      <c r="C246" s="390"/>
      <c r="D246" s="390"/>
      <c r="E246" s="391"/>
      <c r="F246" s="4"/>
      <c r="G246" s="4"/>
      <c r="H246" s="4"/>
      <c r="I246" s="4"/>
      <c r="J246" s="4"/>
      <c r="K246" s="4"/>
      <c r="L246" s="4"/>
      <c r="M246" s="4"/>
      <c r="N246" s="4"/>
    </row>
    <row r="247" spans="1:14">
      <c r="A247" s="4"/>
      <c r="B247" s="4"/>
      <c r="C247" s="390"/>
      <c r="D247" s="390"/>
      <c r="E247" s="391"/>
      <c r="F247" s="4"/>
      <c r="G247" s="4"/>
      <c r="H247" s="4"/>
      <c r="I247" s="4"/>
      <c r="J247" s="4"/>
      <c r="K247" s="4"/>
      <c r="L247" s="4"/>
      <c r="M247" s="4"/>
      <c r="N247" s="4"/>
    </row>
    <row r="248" spans="1:14">
      <c r="A248" s="4"/>
      <c r="B248" s="4"/>
      <c r="C248" s="390"/>
      <c r="D248" s="390"/>
      <c r="E248" s="391"/>
      <c r="F248" s="4"/>
      <c r="G248" s="4"/>
      <c r="H248" s="4"/>
      <c r="I248" s="4"/>
      <c r="J248" s="4"/>
      <c r="K248" s="4"/>
      <c r="L248" s="4"/>
      <c r="M248" s="4"/>
      <c r="N248" s="4"/>
    </row>
    <row r="249" spans="1:14">
      <c r="A249" s="4"/>
      <c r="B249" s="4"/>
      <c r="C249" s="390"/>
      <c r="D249" s="390"/>
      <c r="E249" s="391"/>
      <c r="F249" s="4"/>
      <c r="G249" s="4"/>
      <c r="H249" s="4"/>
      <c r="I249" s="4"/>
      <c r="J249" s="4"/>
      <c r="K249" s="4"/>
      <c r="L249" s="4"/>
      <c r="M249" s="4"/>
      <c r="N249" s="4"/>
    </row>
    <row r="250" spans="1:14">
      <c r="A250" s="4"/>
      <c r="B250" s="4"/>
      <c r="C250" s="390"/>
      <c r="D250" s="390"/>
      <c r="E250" s="391"/>
      <c r="F250" s="4"/>
      <c r="G250" s="4"/>
      <c r="H250" s="4"/>
      <c r="I250" s="4"/>
      <c r="J250" s="4"/>
      <c r="K250" s="4"/>
      <c r="L250" s="4"/>
      <c r="M250" s="4"/>
      <c r="N250" s="4"/>
    </row>
    <row r="251" spans="1:14">
      <c r="A251" s="4"/>
      <c r="B251" s="4"/>
      <c r="C251" s="390"/>
      <c r="D251" s="390"/>
      <c r="E251" s="391"/>
      <c r="F251" s="4"/>
      <c r="G251" s="4"/>
      <c r="H251" s="4"/>
      <c r="I251" s="4"/>
      <c r="J251" s="4"/>
      <c r="K251" s="4"/>
      <c r="L251" s="4"/>
      <c r="M251" s="4"/>
      <c r="N251" s="4"/>
    </row>
    <row r="252" spans="1:14">
      <c r="A252" s="4"/>
      <c r="B252" s="4"/>
      <c r="C252" s="390"/>
      <c r="D252" s="390"/>
      <c r="E252" s="391"/>
      <c r="F252" s="4"/>
      <c r="G252" s="4"/>
      <c r="H252" s="4"/>
      <c r="I252" s="4"/>
      <c r="J252" s="4"/>
      <c r="K252" s="4"/>
      <c r="L252" s="4"/>
      <c r="M252" s="4"/>
      <c r="N252" s="4"/>
    </row>
    <row r="253" spans="1:14">
      <c r="A253" s="4"/>
      <c r="B253" s="4"/>
      <c r="C253" s="390"/>
      <c r="D253" s="390"/>
      <c r="E253" s="391"/>
      <c r="F253" s="4"/>
      <c r="G253" s="4"/>
      <c r="H253" s="4"/>
      <c r="I253" s="4"/>
      <c r="J253" s="4"/>
      <c r="K253" s="4"/>
      <c r="L253" s="4"/>
      <c r="M253" s="4"/>
      <c r="N253" s="4"/>
    </row>
    <row r="254" spans="1:14">
      <c r="A254" s="4"/>
      <c r="B254" s="4"/>
      <c r="C254" s="390"/>
      <c r="D254" s="390"/>
      <c r="E254" s="391"/>
      <c r="F254" s="4"/>
      <c r="G254" s="4"/>
      <c r="H254" s="4"/>
      <c r="I254" s="4"/>
      <c r="J254" s="4"/>
      <c r="K254" s="4"/>
      <c r="L254" s="4"/>
      <c r="M254" s="4"/>
      <c r="N254" s="4"/>
    </row>
    <row r="255" spans="1:14">
      <c r="A255" s="4"/>
      <c r="B255" s="4"/>
      <c r="C255" s="390"/>
      <c r="D255" s="390"/>
      <c r="E255" s="391"/>
      <c r="F255" s="4"/>
      <c r="G255" s="4"/>
      <c r="H255" s="4"/>
      <c r="I255" s="4"/>
      <c r="J255" s="4"/>
      <c r="K255" s="4"/>
      <c r="L255" s="4"/>
      <c r="M255" s="4"/>
      <c r="N255" s="4"/>
    </row>
    <row r="256" spans="1:14">
      <c r="A256" s="4"/>
      <c r="B256" s="4"/>
      <c r="C256" s="390"/>
      <c r="D256" s="390"/>
      <c r="E256" s="391"/>
      <c r="F256" s="4"/>
      <c r="G256" s="4"/>
      <c r="H256" s="4"/>
      <c r="I256" s="4"/>
      <c r="J256" s="4"/>
      <c r="K256" s="4"/>
      <c r="L256" s="4"/>
      <c r="M256" s="4"/>
      <c r="N256" s="4"/>
    </row>
    <row r="257" spans="1:14">
      <c r="A257" s="4"/>
      <c r="B257" s="4"/>
      <c r="C257" s="390"/>
      <c r="D257" s="390"/>
      <c r="E257" s="391"/>
      <c r="F257" s="4"/>
      <c r="G257" s="4"/>
      <c r="H257" s="4"/>
      <c r="I257" s="4"/>
      <c r="J257" s="4"/>
      <c r="K257" s="4"/>
      <c r="L257" s="4"/>
      <c r="M257" s="4"/>
      <c r="N257" s="4"/>
    </row>
    <row r="258" spans="1:14">
      <c r="A258" s="4"/>
      <c r="B258" s="4"/>
      <c r="C258" s="390"/>
      <c r="D258" s="390"/>
      <c r="E258" s="391"/>
      <c r="F258" s="4"/>
      <c r="G258" s="4"/>
      <c r="H258" s="4"/>
      <c r="I258" s="4"/>
      <c r="J258" s="4"/>
      <c r="K258" s="4"/>
      <c r="L258" s="4"/>
      <c r="M258" s="4"/>
      <c r="N258" s="4"/>
    </row>
    <row r="259" spans="1:14">
      <c r="A259" s="4"/>
      <c r="B259" s="4"/>
      <c r="C259" s="390"/>
      <c r="D259" s="390"/>
      <c r="E259" s="391"/>
      <c r="F259" s="4"/>
      <c r="G259" s="4"/>
      <c r="H259" s="4"/>
      <c r="I259" s="4"/>
      <c r="J259" s="4"/>
      <c r="K259" s="4"/>
      <c r="L259" s="4"/>
      <c r="M259" s="4"/>
      <c r="N259" s="4"/>
    </row>
    <row r="260" spans="1:14">
      <c r="A260" s="4"/>
      <c r="B260" s="4"/>
      <c r="C260" s="390"/>
      <c r="D260" s="390"/>
      <c r="E260" s="391"/>
      <c r="F260" s="4"/>
      <c r="G260" s="4"/>
      <c r="H260" s="4"/>
      <c r="I260" s="4"/>
      <c r="J260" s="4"/>
      <c r="K260" s="4"/>
      <c r="L260" s="4"/>
      <c r="M260" s="4"/>
      <c r="N260" s="4"/>
    </row>
    <row r="261" spans="1:14">
      <c r="A261" s="4"/>
      <c r="B261" s="4"/>
      <c r="C261" s="390"/>
      <c r="D261" s="390"/>
      <c r="E261" s="391"/>
      <c r="F261" s="4"/>
      <c r="G261" s="4"/>
      <c r="H261" s="4"/>
      <c r="I261" s="4"/>
      <c r="J261" s="4"/>
      <c r="K261" s="4"/>
      <c r="L261" s="4"/>
      <c r="M261" s="4"/>
      <c r="N261" s="4"/>
    </row>
    <row r="262" spans="1:14">
      <c r="A262" s="4"/>
      <c r="B262" s="4"/>
      <c r="C262" s="390"/>
      <c r="D262" s="390"/>
      <c r="E262" s="391"/>
      <c r="F262" s="4"/>
      <c r="G262" s="4"/>
      <c r="H262" s="4"/>
      <c r="I262" s="4"/>
      <c r="J262" s="4"/>
      <c r="K262" s="4"/>
      <c r="L262" s="4"/>
      <c r="M262" s="4"/>
      <c r="N262" s="4"/>
    </row>
    <row r="263" spans="1:14">
      <c r="A263" s="4"/>
      <c r="B263" s="4"/>
      <c r="C263" s="390"/>
      <c r="D263" s="390"/>
      <c r="E263" s="391"/>
      <c r="F263" s="4"/>
      <c r="G263" s="4"/>
      <c r="H263" s="4"/>
      <c r="I263" s="4"/>
      <c r="J263" s="4"/>
      <c r="K263" s="4"/>
      <c r="L263" s="4"/>
      <c r="M263" s="4"/>
      <c r="N263" s="4"/>
    </row>
    <row r="264" spans="1:14">
      <c r="A264" s="4"/>
      <c r="B264" s="4"/>
      <c r="C264" s="390"/>
      <c r="D264" s="390"/>
      <c r="E264" s="391"/>
      <c r="F264" s="4"/>
      <c r="G264" s="4"/>
      <c r="H264" s="4"/>
      <c r="I264" s="4"/>
      <c r="J264" s="4"/>
      <c r="K264" s="4"/>
      <c r="L264" s="4"/>
      <c r="M264" s="4"/>
      <c r="N264" s="4"/>
    </row>
    <row r="265" spans="1:14">
      <c r="A265" s="4"/>
      <c r="B265" s="4"/>
      <c r="C265" s="390"/>
      <c r="D265" s="390"/>
      <c r="E265" s="391"/>
      <c r="F265" s="4"/>
      <c r="G265" s="4"/>
      <c r="H265" s="4"/>
      <c r="I265" s="4"/>
      <c r="J265" s="4"/>
      <c r="K265" s="4"/>
      <c r="L265" s="4"/>
      <c r="M265" s="4"/>
      <c r="N265" s="4"/>
    </row>
    <row r="266" spans="1:14">
      <c r="A266" s="4"/>
      <c r="B266" s="4"/>
      <c r="C266" s="390"/>
      <c r="D266" s="390"/>
      <c r="E266" s="391"/>
      <c r="F266" s="4"/>
      <c r="G266" s="4"/>
      <c r="H266" s="4"/>
      <c r="I266" s="4"/>
      <c r="J266" s="4"/>
      <c r="K266" s="4"/>
      <c r="L266" s="4"/>
      <c r="M266" s="4"/>
      <c r="N266" s="4"/>
    </row>
    <row r="267" spans="1:14">
      <c r="A267" s="4"/>
      <c r="B267" s="4"/>
      <c r="C267" s="390"/>
      <c r="D267" s="390"/>
      <c r="E267" s="391"/>
      <c r="F267" s="4"/>
      <c r="G267" s="4"/>
      <c r="H267" s="4"/>
      <c r="I267" s="4"/>
      <c r="J267" s="4"/>
      <c r="K267" s="4"/>
      <c r="L267" s="4"/>
      <c r="M267" s="4"/>
      <c r="N267" s="4"/>
    </row>
    <row r="268" spans="1:14">
      <c r="A268" s="4"/>
      <c r="B268" s="4"/>
      <c r="C268" s="390"/>
      <c r="D268" s="390"/>
      <c r="E268" s="391"/>
      <c r="F268" s="4"/>
      <c r="G268" s="4"/>
      <c r="H268" s="4"/>
      <c r="I268" s="4"/>
      <c r="J268" s="4"/>
      <c r="K268" s="4"/>
      <c r="L268" s="4"/>
      <c r="M268" s="4"/>
      <c r="N268" s="4"/>
    </row>
    <row r="269" spans="1:14">
      <c r="A269" s="4"/>
      <c r="B269" s="4"/>
      <c r="C269" s="390"/>
      <c r="D269" s="390"/>
      <c r="E269" s="391"/>
      <c r="F269" s="4"/>
      <c r="G269" s="4"/>
      <c r="H269" s="4"/>
      <c r="I269" s="4"/>
      <c r="J269" s="4"/>
      <c r="K269" s="4"/>
      <c r="L269" s="4"/>
      <c r="M269" s="4"/>
      <c r="N269" s="4"/>
    </row>
    <row r="270" spans="1:14">
      <c r="A270" s="4"/>
      <c r="B270" s="4"/>
      <c r="C270" s="390"/>
      <c r="D270" s="390"/>
      <c r="E270" s="391"/>
      <c r="F270" s="4"/>
      <c r="G270" s="4"/>
      <c r="H270" s="4"/>
      <c r="I270" s="4"/>
      <c r="J270" s="4"/>
      <c r="K270" s="4"/>
      <c r="L270" s="4"/>
      <c r="M270" s="4"/>
      <c r="N270" s="4"/>
    </row>
    <row r="271" spans="1:14">
      <c r="A271" s="4"/>
      <c r="B271" s="4"/>
      <c r="C271" s="390"/>
      <c r="D271" s="390"/>
      <c r="E271" s="391"/>
      <c r="F271" s="4"/>
      <c r="G271" s="4"/>
      <c r="H271" s="4"/>
      <c r="I271" s="4"/>
      <c r="J271" s="4"/>
      <c r="K271" s="4"/>
      <c r="L271" s="4"/>
      <c r="M271" s="4"/>
      <c r="N271" s="4"/>
    </row>
    <row r="272" spans="1:14">
      <c r="A272" s="4"/>
      <c r="B272" s="4"/>
      <c r="C272" s="390"/>
      <c r="D272" s="390"/>
      <c r="E272" s="391"/>
      <c r="F272" s="4"/>
      <c r="G272" s="4"/>
      <c r="H272" s="4"/>
      <c r="I272" s="4"/>
      <c r="J272" s="4"/>
      <c r="K272" s="4"/>
      <c r="L272" s="4"/>
      <c r="M272" s="4"/>
      <c r="N272" s="4"/>
    </row>
    <row r="273" spans="1:14">
      <c r="A273" s="4"/>
      <c r="B273" s="4"/>
      <c r="C273" s="390"/>
      <c r="D273" s="390"/>
      <c r="E273" s="391"/>
      <c r="F273" s="4"/>
      <c r="G273" s="4"/>
      <c r="H273" s="4"/>
      <c r="I273" s="4"/>
      <c r="J273" s="4"/>
      <c r="K273" s="4"/>
      <c r="L273" s="4"/>
      <c r="M273" s="4"/>
      <c r="N273" s="4"/>
    </row>
    <row r="274" spans="1:14">
      <c r="A274" s="4"/>
      <c r="B274" s="4"/>
      <c r="C274" s="390"/>
      <c r="D274" s="390"/>
      <c r="E274" s="391"/>
      <c r="F274" s="4"/>
      <c r="G274" s="4"/>
      <c r="H274" s="4"/>
      <c r="I274" s="4"/>
      <c r="J274" s="4"/>
      <c r="K274" s="4"/>
      <c r="L274" s="4"/>
      <c r="M274" s="4"/>
      <c r="N274" s="4"/>
    </row>
    <row r="275" spans="1:14">
      <c r="A275" s="4"/>
      <c r="B275" s="4"/>
      <c r="C275" s="390"/>
      <c r="D275" s="390"/>
      <c r="E275" s="391"/>
      <c r="F275" s="4"/>
      <c r="G275" s="4"/>
      <c r="H275" s="4"/>
      <c r="I275" s="4"/>
      <c r="J275" s="4"/>
      <c r="K275" s="4"/>
      <c r="L275" s="4"/>
      <c r="M275" s="4"/>
      <c r="N275" s="4"/>
    </row>
    <row r="276" spans="1:14">
      <c r="A276" s="4"/>
      <c r="B276" s="4"/>
      <c r="C276" s="390"/>
      <c r="D276" s="390"/>
      <c r="E276" s="391"/>
      <c r="F276" s="4"/>
      <c r="G276" s="4"/>
      <c r="H276" s="4"/>
      <c r="I276" s="4"/>
      <c r="J276" s="4"/>
      <c r="K276" s="4"/>
      <c r="L276" s="4"/>
      <c r="M276" s="4"/>
      <c r="N276" s="4"/>
    </row>
    <row r="277" spans="1:14">
      <c r="A277" s="4"/>
      <c r="B277" s="4"/>
      <c r="C277" s="390"/>
      <c r="D277" s="390"/>
      <c r="E277" s="391"/>
      <c r="F277" s="4"/>
      <c r="G277" s="4"/>
      <c r="H277" s="4"/>
      <c r="I277" s="4"/>
      <c r="J277" s="4"/>
      <c r="K277" s="4"/>
      <c r="L277" s="4"/>
      <c r="M277" s="4"/>
      <c r="N277" s="4"/>
    </row>
    <row r="278" spans="1:14">
      <c r="A278" s="4"/>
      <c r="B278" s="4"/>
      <c r="C278" s="390"/>
      <c r="D278" s="390"/>
      <c r="E278" s="391"/>
      <c r="F278" s="4"/>
      <c r="G278" s="4"/>
      <c r="H278" s="4"/>
      <c r="I278" s="4"/>
      <c r="J278" s="4"/>
      <c r="K278" s="4"/>
      <c r="L278" s="4"/>
      <c r="M278" s="4"/>
      <c r="N278" s="4"/>
    </row>
    <row r="279" spans="1:14">
      <c r="A279" s="4"/>
      <c r="B279" s="4"/>
      <c r="C279" s="390"/>
      <c r="D279" s="390"/>
      <c r="E279" s="391"/>
      <c r="F279" s="4"/>
      <c r="G279" s="4"/>
      <c r="H279" s="4"/>
      <c r="I279" s="4"/>
      <c r="J279" s="4"/>
      <c r="K279" s="4"/>
      <c r="L279" s="4"/>
      <c r="M279" s="4"/>
      <c r="N279" s="4"/>
    </row>
    <row r="280" spans="1:14">
      <c r="A280" s="4"/>
      <c r="B280" s="4"/>
      <c r="C280" s="390"/>
      <c r="D280" s="390"/>
      <c r="E280" s="391"/>
      <c r="F280" s="4"/>
      <c r="G280" s="4"/>
      <c r="H280" s="4"/>
      <c r="I280" s="4"/>
      <c r="J280" s="4"/>
      <c r="K280" s="4"/>
      <c r="L280" s="4"/>
      <c r="M280" s="4"/>
      <c r="N280" s="4"/>
    </row>
    <row r="281" spans="1:14">
      <c r="A281" s="4"/>
      <c r="B281" s="4"/>
      <c r="C281" s="390"/>
      <c r="D281" s="390"/>
      <c r="E281" s="391"/>
      <c r="F281" s="4"/>
      <c r="G281" s="4"/>
      <c r="H281" s="4"/>
      <c r="I281" s="4"/>
      <c r="J281" s="4"/>
      <c r="K281" s="4"/>
      <c r="L281" s="4"/>
      <c r="M281" s="4"/>
      <c r="N281" s="4"/>
    </row>
    <row r="282" spans="1:14">
      <c r="A282" s="4"/>
      <c r="B282" s="4"/>
      <c r="C282" s="390"/>
      <c r="D282" s="390"/>
      <c r="E282" s="391"/>
      <c r="F282" s="4"/>
      <c r="G282" s="4"/>
      <c r="H282" s="4"/>
      <c r="I282" s="4"/>
      <c r="J282" s="4"/>
      <c r="K282" s="4"/>
      <c r="L282" s="4"/>
      <c r="M282" s="4"/>
      <c r="N282" s="4"/>
    </row>
    <row r="283" spans="1:14">
      <c r="A283" s="4"/>
      <c r="B283" s="4"/>
      <c r="C283" s="390"/>
      <c r="D283" s="390"/>
      <c r="E283" s="391"/>
      <c r="F283" s="4"/>
      <c r="G283" s="4"/>
      <c r="H283" s="4"/>
      <c r="I283" s="4"/>
      <c r="J283" s="4"/>
      <c r="K283" s="4"/>
      <c r="L283" s="4"/>
      <c r="M283" s="4"/>
      <c r="N283" s="4"/>
    </row>
    <row r="284" spans="1:14">
      <c r="A284" s="4"/>
      <c r="B284" s="4"/>
      <c r="C284" s="390"/>
      <c r="D284" s="390"/>
      <c r="E284" s="391"/>
      <c r="F284" s="4"/>
      <c r="G284" s="4"/>
      <c r="H284" s="4"/>
      <c r="I284" s="4"/>
      <c r="J284" s="4"/>
      <c r="K284" s="4"/>
      <c r="L284" s="4"/>
      <c r="M284" s="4"/>
      <c r="N284" s="4"/>
    </row>
    <row r="285" spans="1:14">
      <c r="A285" s="4"/>
      <c r="B285" s="4"/>
      <c r="C285" s="390"/>
      <c r="D285" s="390"/>
      <c r="E285" s="391"/>
      <c r="F285" s="4"/>
      <c r="G285" s="4"/>
      <c r="H285" s="4"/>
      <c r="I285" s="4"/>
      <c r="J285" s="4"/>
      <c r="K285" s="4"/>
      <c r="L285" s="4"/>
      <c r="M285" s="4"/>
      <c r="N285" s="4"/>
    </row>
    <row r="286" spans="1:14">
      <c r="A286" s="4"/>
      <c r="B286" s="4"/>
      <c r="C286" s="390"/>
      <c r="D286" s="390"/>
      <c r="E286" s="391"/>
      <c r="F286" s="4"/>
      <c r="G286" s="4"/>
      <c r="H286" s="4"/>
      <c r="I286" s="4"/>
      <c r="J286" s="4"/>
      <c r="K286" s="4"/>
      <c r="L286" s="4"/>
      <c r="M286" s="4"/>
      <c r="N286" s="4"/>
    </row>
    <row r="287" spans="1:14">
      <c r="A287" s="4"/>
      <c r="B287" s="4"/>
      <c r="C287" s="390"/>
      <c r="D287" s="390"/>
      <c r="E287" s="391"/>
      <c r="F287" s="4"/>
      <c r="G287" s="4"/>
      <c r="H287" s="4"/>
      <c r="I287" s="4"/>
      <c r="J287" s="4"/>
      <c r="K287" s="4"/>
      <c r="L287" s="4"/>
      <c r="M287" s="4"/>
      <c r="N287" s="4"/>
    </row>
    <row r="288" spans="1:14">
      <c r="A288" s="4"/>
      <c r="B288" s="4"/>
      <c r="C288" s="390"/>
      <c r="D288" s="390"/>
      <c r="E288" s="391"/>
      <c r="F288" s="4"/>
      <c r="G288" s="4"/>
      <c r="H288" s="4"/>
      <c r="I288" s="4"/>
      <c r="J288" s="4"/>
      <c r="K288" s="4"/>
      <c r="L288" s="4"/>
      <c r="M288" s="4"/>
      <c r="N288" s="4"/>
    </row>
    <row r="289" spans="1:14">
      <c r="A289" s="4"/>
      <c r="B289" s="4"/>
      <c r="C289" s="390"/>
      <c r="D289" s="390"/>
      <c r="E289" s="391"/>
      <c r="F289" s="4"/>
      <c r="G289" s="4"/>
      <c r="H289" s="4"/>
      <c r="I289" s="4"/>
      <c r="J289" s="4"/>
      <c r="K289" s="4"/>
      <c r="L289" s="4"/>
      <c r="M289" s="4"/>
      <c r="N289" s="4"/>
    </row>
    <row r="290" spans="1:14">
      <c r="A290" s="4"/>
      <c r="B290" s="4"/>
      <c r="C290" s="390"/>
      <c r="D290" s="390"/>
      <c r="E290" s="391"/>
      <c r="F290" s="4"/>
      <c r="G290" s="4"/>
      <c r="H290" s="4"/>
      <c r="I290" s="4"/>
      <c r="J290" s="4"/>
      <c r="K290" s="4"/>
      <c r="L290" s="4"/>
      <c r="M290" s="4"/>
      <c r="N290" s="4"/>
    </row>
    <row r="291" spans="1:14">
      <c r="A291" s="4"/>
      <c r="B291" s="4"/>
      <c r="C291" s="390"/>
      <c r="D291" s="390"/>
      <c r="E291" s="391"/>
      <c r="F291" s="4"/>
      <c r="G291" s="4"/>
      <c r="H291" s="4"/>
      <c r="I291" s="4"/>
      <c r="J291" s="4"/>
      <c r="K291" s="4"/>
      <c r="L291" s="4"/>
      <c r="M291" s="4"/>
      <c r="N291" s="4"/>
    </row>
    <row r="292" spans="1:14">
      <c r="A292" s="4"/>
      <c r="B292" s="4"/>
      <c r="C292" s="390"/>
      <c r="D292" s="390"/>
      <c r="E292" s="391"/>
      <c r="F292" s="4"/>
      <c r="G292" s="4"/>
      <c r="H292" s="4"/>
      <c r="I292" s="4"/>
      <c r="J292" s="4"/>
      <c r="K292" s="4"/>
      <c r="L292" s="4"/>
      <c r="M292" s="4"/>
      <c r="N292" s="4"/>
    </row>
    <row r="293" spans="1:14">
      <c r="A293" s="4"/>
      <c r="B293" s="4"/>
      <c r="C293" s="390"/>
      <c r="D293" s="390"/>
      <c r="E293" s="391"/>
      <c r="F293" s="4"/>
      <c r="G293" s="4"/>
      <c r="H293" s="4"/>
      <c r="I293" s="4"/>
      <c r="J293" s="4"/>
      <c r="K293" s="4"/>
      <c r="L293" s="4"/>
      <c r="M293" s="4"/>
      <c r="N293" s="4"/>
    </row>
    <row r="294" spans="1:14">
      <c r="A294" s="4"/>
      <c r="B294" s="4"/>
      <c r="C294" s="390"/>
      <c r="D294" s="390"/>
      <c r="E294" s="391"/>
      <c r="F294" s="4"/>
      <c r="G294" s="4"/>
      <c r="H294" s="4"/>
      <c r="I294" s="4"/>
      <c r="J294" s="4"/>
      <c r="K294" s="4"/>
      <c r="L294" s="4"/>
      <c r="M294" s="4"/>
      <c r="N294" s="4"/>
    </row>
    <row r="295" spans="1:14">
      <c r="A295" s="4"/>
      <c r="B295" s="4"/>
      <c r="C295" s="390"/>
      <c r="D295" s="390"/>
      <c r="E295" s="391"/>
      <c r="F295" s="4"/>
      <c r="G295" s="4"/>
      <c r="H295" s="4"/>
      <c r="I295" s="4"/>
      <c r="J295" s="4"/>
      <c r="K295" s="4"/>
      <c r="L295" s="4"/>
      <c r="M295" s="4"/>
      <c r="N295" s="4"/>
    </row>
    <row r="296" spans="1:14">
      <c r="A296" s="4"/>
      <c r="B296" s="4"/>
      <c r="C296" s="390"/>
      <c r="D296" s="390"/>
      <c r="E296" s="391"/>
      <c r="F296" s="4"/>
      <c r="G296" s="4"/>
      <c r="H296" s="4"/>
      <c r="I296" s="4"/>
      <c r="J296" s="4"/>
      <c r="K296" s="4"/>
      <c r="L296" s="4"/>
      <c r="M296" s="4"/>
      <c r="N296" s="4"/>
    </row>
    <row r="297" spans="1:14">
      <c r="A297" s="4"/>
      <c r="B297" s="4"/>
      <c r="C297" s="390"/>
      <c r="D297" s="390"/>
      <c r="E297" s="391"/>
      <c r="F297" s="4"/>
      <c r="G297" s="4"/>
      <c r="H297" s="4"/>
      <c r="I297" s="4"/>
      <c r="J297" s="4"/>
      <c r="K297" s="4"/>
      <c r="L297" s="4"/>
      <c r="M297" s="4"/>
      <c r="N297" s="4"/>
    </row>
    <row r="298" spans="1:14">
      <c r="A298" s="4"/>
      <c r="B298" s="4"/>
      <c r="C298" s="390"/>
      <c r="D298" s="390"/>
      <c r="E298" s="391"/>
      <c r="F298" s="4"/>
      <c r="G298" s="4"/>
      <c r="H298" s="4"/>
      <c r="I298" s="4"/>
      <c r="J298" s="4"/>
      <c r="K298" s="4"/>
      <c r="L298" s="4"/>
      <c r="M298" s="4"/>
      <c r="N298" s="4"/>
    </row>
    <row r="299" spans="1:14">
      <c r="A299" s="4"/>
      <c r="B299" s="4"/>
      <c r="C299" s="390"/>
      <c r="D299" s="390"/>
      <c r="E299" s="391"/>
      <c r="F299" s="4"/>
      <c r="G299" s="4"/>
      <c r="H299" s="4"/>
      <c r="I299" s="4"/>
      <c r="J299" s="4"/>
      <c r="K299" s="4"/>
      <c r="L299" s="4"/>
      <c r="M299" s="4"/>
      <c r="N299" s="4"/>
    </row>
    <row r="300" spans="1:14">
      <c r="A300" s="4"/>
      <c r="B300" s="4"/>
      <c r="C300" s="390"/>
      <c r="D300" s="390"/>
      <c r="E300" s="391"/>
      <c r="F300" s="4"/>
      <c r="G300" s="4"/>
      <c r="H300" s="4"/>
      <c r="I300" s="4"/>
      <c r="J300" s="4"/>
      <c r="K300" s="4"/>
      <c r="L300" s="4"/>
      <c r="M300" s="4"/>
      <c r="N300" s="4"/>
    </row>
    <row r="301" spans="1:14">
      <c r="A301" s="4"/>
      <c r="B301" s="4"/>
      <c r="C301" s="390"/>
      <c r="D301" s="390"/>
      <c r="E301" s="391"/>
      <c r="F301" s="4"/>
      <c r="G301" s="4"/>
      <c r="H301" s="4"/>
      <c r="I301" s="4"/>
      <c r="J301" s="4"/>
      <c r="K301" s="4"/>
      <c r="L301" s="4"/>
      <c r="M301" s="4"/>
      <c r="N301" s="4"/>
    </row>
    <row r="302" spans="1:14">
      <c r="A302" s="4"/>
      <c r="B302" s="4"/>
      <c r="C302" s="390"/>
      <c r="D302" s="390"/>
      <c r="E302" s="391"/>
      <c r="F302" s="4"/>
      <c r="G302" s="4"/>
      <c r="H302" s="4"/>
      <c r="I302" s="4"/>
      <c r="J302" s="4"/>
      <c r="K302" s="4"/>
      <c r="L302" s="4"/>
      <c r="M302" s="4"/>
      <c r="N302" s="4"/>
    </row>
    <row r="303" spans="1:14">
      <c r="A303" s="4"/>
      <c r="B303" s="4"/>
      <c r="C303" s="390"/>
      <c r="D303" s="390"/>
      <c r="E303" s="391"/>
      <c r="F303" s="4"/>
      <c r="G303" s="4"/>
      <c r="H303" s="4"/>
      <c r="I303" s="4"/>
      <c r="J303" s="4"/>
      <c r="K303" s="4"/>
      <c r="L303" s="4"/>
      <c r="M303" s="4"/>
      <c r="N303" s="4"/>
    </row>
    <row r="304" spans="1:14">
      <c r="A304" s="4"/>
      <c r="B304" s="4"/>
      <c r="C304" s="390"/>
      <c r="D304" s="390"/>
      <c r="E304" s="391"/>
      <c r="F304" s="4"/>
      <c r="G304" s="4"/>
      <c r="H304" s="4"/>
      <c r="I304" s="4"/>
      <c r="J304" s="4"/>
      <c r="K304" s="4"/>
      <c r="L304" s="4"/>
      <c r="M304" s="4"/>
      <c r="N304" s="4"/>
    </row>
    <row r="305" spans="1:14">
      <c r="A305" s="4"/>
      <c r="B305" s="4"/>
      <c r="C305" s="390"/>
      <c r="D305" s="390"/>
      <c r="E305" s="391"/>
      <c r="F305" s="4"/>
      <c r="G305" s="4"/>
      <c r="H305" s="4"/>
      <c r="I305" s="4"/>
      <c r="J305" s="4"/>
      <c r="K305" s="4"/>
      <c r="L305" s="4"/>
      <c r="M305" s="4"/>
      <c r="N305" s="4"/>
    </row>
    <row r="306" spans="1:14">
      <c r="A306" s="4"/>
      <c r="B306" s="4"/>
      <c r="C306" s="390"/>
      <c r="D306" s="390"/>
      <c r="E306" s="391"/>
      <c r="F306" s="4"/>
      <c r="G306" s="4"/>
      <c r="H306" s="4"/>
      <c r="I306" s="4"/>
      <c r="J306" s="4"/>
      <c r="K306" s="4"/>
      <c r="L306" s="4"/>
      <c r="M306" s="4"/>
      <c r="N306" s="4"/>
    </row>
    <row r="307" spans="1:14">
      <c r="A307" s="4"/>
      <c r="B307" s="4"/>
      <c r="C307" s="390"/>
      <c r="D307" s="390"/>
      <c r="E307" s="391"/>
      <c r="F307" s="4"/>
      <c r="G307" s="4"/>
      <c r="H307" s="4"/>
      <c r="I307" s="4"/>
      <c r="J307" s="4"/>
      <c r="K307" s="4"/>
      <c r="L307" s="4"/>
      <c r="M307" s="4"/>
      <c r="N307" s="4"/>
    </row>
    <row r="308" spans="1:14">
      <c r="A308" s="4"/>
      <c r="B308" s="4"/>
      <c r="C308" s="390"/>
      <c r="D308" s="390"/>
      <c r="E308" s="391"/>
      <c r="F308" s="4"/>
      <c r="G308" s="4"/>
      <c r="H308" s="4"/>
      <c r="I308" s="4"/>
      <c r="J308" s="4"/>
      <c r="K308" s="4"/>
      <c r="L308" s="4"/>
      <c r="M308" s="4"/>
      <c r="N308" s="4"/>
    </row>
    <row r="309" spans="1:14">
      <c r="A309" s="4"/>
      <c r="B309" s="4"/>
      <c r="C309" s="390"/>
      <c r="D309" s="390"/>
      <c r="E309" s="391"/>
      <c r="F309" s="4"/>
      <c r="G309" s="4"/>
      <c r="H309" s="4"/>
      <c r="I309" s="4"/>
      <c r="J309" s="4"/>
      <c r="K309" s="4"/>
      <c r="L309" s="4"/>
      <c r="M309" s="4"/>
      <c r="N309" s="4"/>
    </row>
    <row r="310" spans="1:14">
      <c r="A310" s="4"/>
      <c r="B310" s="4"/>
      <c r="C310" s="390"/>
      <c r="D310" s="390"/>
      <c r="E310" s="391"/>
      <c r="F310" s="4"/>
      <c r="G310" s="4"/>
      <c r="H310" s="4"/>
      <c r="I310" s="4"/>
      <c r="J310" s="4"/>
      <c r="K310" s="4"/>
      <c r="L310" s="4"/>
      <c r="M310" s="4"/>
      <c r="N310" s="4"/>
    </row>
    <row r="311" spans="1:14">
      <c r="A311" s="4"/>
      <c r="B311" s="4"/>
      <c r="C311" s="390"/>
      <c r="D311" s="390"/>
      <c r="E311" s="391"/>
      <c r="F311" s="4"/>
      <c r="G311" s="4"/>
      <c r="H311" s="4"/>
      <c r="I311" s="4"/>
      <c r="J311" s="4"/>
      <c r="K311" s="4"/>
      <c r="L311" s="4"/>
      <c r="M311" s="4"/>
      <c r="N311" s="4"/>
    </row>
    <row r="312" spans="1:14">
      <c r="A312" s="4"/>
      <c r="B312" s="4"/>
      <c r="C312" s="390"/>
      <c r="D312" s="390"/>
      <c r="E312" s="391"/>
      <c r="F312" s="4"/>
      <c r="G312" s="4"/>
      <c r="H312" s="4"/>
      <c r="I312" s="4"/>
      <c r="J312" s="4"/>
      <c r="K312" s="4"/>
      <c r="L312" s="4"/>
      <c r="M312" s="4"/>
      <c r="N312" s="4"/>
    </row>
    <row r="313" spans="1:14">
      <c r="A313" s="4"/>
      <c r="B313" s="4"/>
      <c r="C313" s="390"/>
      <c r="D313" s="390"/>
      <c r="E313" s="391"/>
      <c r="F313" s="4"/>
      <c r="G313" s="4"/>
      <c r="H313" s="4"/>
      <c r="I313" s="4"/>
      <c r="J313" s="4"/>
      <c r="K313" s="4"/>
      <c r="L313" s="4"/>
      <c r="M313" s="4"/>
      <c r="N313" s="4"/>
    </row>
    <row r="314" spans="1:14">
      <c r="A314" s="4"/>
      <c r="B314" s="4"/>
      <c r="C314" s="390"/>
      <c r="D314" s="390"/>
      <c r="E314" s="391"/>
      <c r="F314" s="4"/>
      <c r="G314" s="4"/>
      <c r="H314" s="4"/>
      <c r="I314" s="4"/>
      <c r="J314" s="4"/>
      <c r="K314" s="4"/>
      <c r="L314" s="4"/>
      <c r="M314" s="4"/>
      <c r="N314" s="4"/>
    </row>
    <row r="315" spans="1:14">
      <c r="A315" s="4"/>
      <c r="B315" s="4"/>
      <c r="C315" s="390"/>
      <c r="D315" s="390"/>
      <c r="E315" s="391"/>
      <c r="F315" s="4"/>
      <c r="G315" s="4"/>
      <c r="H315" s="4"/>
      <c r="I315" s="4"/>
      <c r="J315" s="4"/>
      <c r="K315" s="4"/>
      <c r="L315" s="4"/>
      <c r="M315" s="4"/>
      <c r="N315" s="4"/>
    </row>
    <row r="316" spans="1:14">
      <c r="A316" s="4"/>
      <c r="B316" s="4"/>
      <c r="C316" s="390"/>
      <c r="D316" s="390"/>
      <c r="E316" s="391"/>
      <c r="F316" s="4"/>
      <c r="G316" s="4"/>
      <c r="H316" s="4"/>
      <c r="I316" s="4"/>
      <c r="J316" s="4"/>
      <c r="K316" s="4"/>
      <c r="L316" s="4"/>
      <c r="M316" s="4"/>
      <c r="N316" s="4"/>
    </row>
    <row r="317" spans="1:14">
      <c r="A317" s="4"/>
      <c r="B317" s="4"/>
      <c r="C317" s="390"/>
      <c r="D317" s="390"/>
      <c r="E317" s="391"/>
      <c r="F317" s="4"/>
      <c r="G317" s="4"/>
      <c r="H317" s="4"/>
      <c r="I317" s="4"/>
      <c r="J317" s="4"/>
      <c r="K317" s="4"/>
      <c r="L317" s="4"/>
      <c r="M317" s="4"/>
      <c r="N317" s="4"/>
    </row>
    <row r="318" spans="1:14">
      <c r="A318" s="4"/>
      <c r="B318" s="4"/>
      <c r="C318" s="390"/>
      <c r="D318" s="390"/>
      <c r="E318" s="391"/>
      <c r="F318" s="4"/>
      <c r="G318" s="4"/>
      <c r="H318" s="4"/>
      <c r="I318" s="4"/>
      <c r="J318" s="4"/>
      <c r="K318" s="4"/>
      <c r="L318" s="4"/>
      <c r="M318" s="4"/>
      <c r="N318" s="4"/>
    </row>
    <row r="319" spans="1:14">
      <c r="A319" s="4"/>
      <c r="B319" s="4"/>
      <c r="C319" s="390"/>
      <c r="D319" s="390"/>
      <c r="E319" s="391"/>
      <c r="F319" s="4"/>
      <c r="G319" s="4"/>
      <c r="H319" s="4"/>
      <c r="I319" s="4"/>
      <c r="J319" s="4"/>
      <c r="K319" s="4"/>
      <c r="L319" s="4"/>
      <c r="M319" s="4"/>
      <c r="N319" s="4"/>
    </row>
    <row r="320" spans="1:14">
      <c r="A320" s="4"/>
      <c r="B320" s="4"/>
      <c r="C320" s="390"/>
      <c r="D320" s="390"/>
      <c r="E320" s="391"/>
      <c r="F320" s="4"/>
      <c r="G320" s="4"/>
      <c r="H320" s="4"/>
      <c r="I320" s="4"/>
      <c r="J320" s="4"/>
      <c r="K320" s="4"/>
      <c r="L320" s="4"/>
      <c r="M320" s="4"/>
      <c r="N320" s="4"/>
    </row>
    <row r="321" spans="1:14">
      <c r="A321" s="4"/>
      <c r="B321" s="4"/>
      <c r="C321" s="390"/>
      <c r="D321" s="390"/>
      <c r="E321" s="391"/>
      <c r="F321" s="4"/>
      <c r="G321" s="4"/>
      <c r="H321" s="4"/>
      <c r="I321" s="4"/>
      <c r="J321" s="4"/>
      <c r="K321" s="4"/>
      <c r="L321" s="4"/>
      <c r="M321" s="4"/>
      <c r="N321" s="4"/>
    </row>
    <row r="322" spans="1:14">
      <c r="A322" s="4"/>
      <c r="B322" s="4"/>
      <c r="C322" s="390"/>
      <c r="D322" s="390"/>
      <c r="E322" s="391"/>
      <c r="F322" s="4"/>
      <c r="G322" s="4"/>
      <c r="H322" s="4"/>
      <c r="I322" s="4"/>
      <c r="J322" s="4"/>
      <c r="K322" s="4"/>
      <c r="L322" s="4"/>
      <c r="M322" s="4"/>
      <c r="N322" s="4"/>
    </row>
    <row r="323" spans="1:14">
      <c r="A323" s="4"/>
      <c r="B323" s="4"/>
      <c r="C323" s="390"/>
      <c r="D323" s="390"/>
      <c r="E323" s="391"/>
      <c r="F323" s="4"/>
      <c r="G323" s="4"/>
      <c r="H323" s="4"/>
      <c r="I323" s="4"/>
      <c r="J323" s="4"/>
      <c r="K323" s="4"/>
      <c r="L323" s="4"/>
      <c r="M323" s="4"/>
      <c r="N323" s="4"/>
    </row>
    <row r="324" spans="1:14">
      <c r="A324" s="4"/>
      <c r="B324" s="4"/>
      <c r="C324" s="390"/>
      <c r="D324" s="390"/>
      <c r="E324" s="391"/>
      <c r="F324" s="4"/>
      <c r="G324" s="4"/>
      <c r="H324" s="4"/>
      <c r="I324" s="4"/>
      <c r="J324" s="4"/>
      <c r="K324" s="4"/>
      <c r="L324" s="4"/>
      <c r="M324" s="4"/>
      <c r="N324" s="4"/>
    </row>
    <row r="325" spans="1:14">
      <c r="A325" s="4"/>
      <c r="B325" s="4"/>
      <c r="C325" s="390"/>
      <c r="D325" s="390"/>
      <c r="E325" s="391"/>
      <c r="F325" s="4"/>
      <c r="G325" s="4"/>
      <c r="H325" s="4"/>
      <c r="I325" s="4"/>
      <c r="J325" s="4"/>
      <c r="K325" s="4"/>
      <c r="L325" s="4"/>
      <c r="M325" s="4"/>
      <c r="N325" s="4"/>
    </row>
    <row r="326" spans="1:14">
      <c r="A326" s="4"/>
      <c r="B326" s="4"/>
      <c r="C326" s="390"/>
      <c r="D326" s="390"/>
      <c r="E326" s="391"/>
      <c r="F326" s="4"/>
      <c r="G326" s="4"/>
      <c r="H326" s="4"/>
      <c r="I326" s="4"/>
      <c r="J326" s="4"/>
      <c r="K326" s="4"/>
      <c r="L326" s="4"/>
      <c r="M326" s="4"/>
      <c r="N326" s="4"/>
    </row>
    <row r="327" spans="1:14">
      <c r="A327" s="4"/>
      <c r="B327" s="4"/>
      <c r="C327" s="390"/>
      <c r="D327" s="390"/>
      <c r="E327" s="391"/>
      <c r="F327" s="4"/>
      <c r="G327" s="4"/>
      <c r="H327" s="4"/>
      <c r="I327" s="4"/>
      <c r="J327" s="4"/>
      <c r="K327" s="4"/>
      <c r="L327" s="4"/>
      <c r="M327" s="4"/>
      <c r="N327" s="4"/>
    </row>
    <row r="328" spans="1:14">
      <c r="A328" s="4"/>
      <c r="B328" s="4"/>
      <c r="C328" s="390"/>
      <c r="D328" s="390"/>
      <c r="E328" s="391"/>
      <c r="F328" s="4"/>
      <c r="G328" s="4"/>
      <c r="H328" s="4"/>
      <c r="I328" s="4"/>
      <c r="J328" s="4"/>
      <c r="K328" s="4"/>
      <c r="L328" s="4"/>
      <c r="M328" s="4"/>
      <c r="N328" s="4"/>
    </row>
    <row r="329" spans="1:14">
      <c r="A329" s="4"/>
      <c r="B329" s="4"/>
      <c r="C329" s="390"/>
      <c r="D329" s="390"/>
      <c r="E329" s="391"/>
      <c r="F329" s="4"/>
      <c r="G329" s="4"/>
      <c r="H329" s="4"/>
      <c r="I329" s="4"/>
      <c r="J329" s="4"/>
      <c r="K329" s="4"/>
      <c r="L329" s="4"/>
      <c r="M329" s="4"/>
      <c r="N329" s="4"/>
    </row>
    <row r="330" spans="1:14">
      <c r="A330" s="4"/>
      <c r="B330" s="4"/>
      <c r="C330" s="390"/>
      <c r="D330" s="390"/>
      <c r="E330" s="391"/>
      <c r="F330" s="4"/>
      <c r="G330" s="4"/>
      <c r="H330" s="4"/>
      <c r="I330" s="4"/>
      <c r="J330" s="4"/>
      <c r="K330" s="4"/>
      <c r="L330" s="4"/>
      <c r="M330" s="4"/>
      <c r="N330" s="4"/>
    </row>
    <row r="331" spans="1:14">
      <c r="A331" s="4"/>
      <c r="B331" s="4"/>
      <c r="C331" s="390"/>
      <c r="D331" s="390"/>
      <c r="E331" s="391"/>
      <c r="F331" s="4"/>
      <c r="G331" s="4"/>
      <c r="H331" s="4"/>
      <c r="I331" s="4"/>
      <c r="J331" s="4"/>
      <c r="K331" s="4"/>
      <c r="L331" s="4"/>
      <c r="M331" s="4"/>
      <c r="N331" s="4"/>
    </row>
    <row r="332" spans="1:14">
      <c r="A332" s="4"/>
      <c r="B332" s="4"/>
      <c r="C332" s="390"/>
      <c r="D332" s="390"/>
      <c r="E332" s="391"/>
      <c r="F332" s="4"/>
      <c r="G332" s="4"/>
      <c r="H332" s="4"/>
      <c r="I332" s="4"/>
      <c r="J332" s="4"/>
      <c r="K332" s="4"/>
      <c r="L332" s="4"/>
      <c r="M332" s="4"/>
      <c r="N332" s="4"/>
    </row>
    <row r="333" spans="1:14">
      <c r="A333" s="4"/>
      <c r="B333" s="4"/>
      <c r="C333" s="390"/>
      <c r="D333" s="390"/>
      <c r="E333" s="391"/>
      <c r="F333" s="4"/>
      <c r="G333" s="4"/>
      <c r="H333" s="4"/>
      <c r="I333" s="4"/>
      <c r="J333" s="4"/>
      <c r="K333" s="4"/>
      <c r="L333" s="4"/>
      <c r="M333" s="4"/>
      <c r="N333" s="4"/>
    </row>
    <row r="334" spans="1:14">
      <c r="A334" s="4"/>
      <c r="B334" s="4"/>
      <c r="C334" s="390"/>
      <c r="D334" s="390"/>
      <c r="E334" s="391"/>
      <c r="F334" s="4"/>
      <c r="G334" s="4"/>
      <c r="H334" s="4"/>
      <c r="I334" s="4"/>
      <c r="J334" s="4"/>
      <c r="K334" s="4"/>
      <c r="L334" s="4"/>
      <c r="M334" s="4"/>
      <c r="N334" s="4"/>
    </row>
    <row r="335" spans="1:14">
      <c r="A335" s="4"/>
      <c r="B335" s="4"/>
      <c r="C335" s="390"/>
      <c r="D335" s="390"/>
      <c r="E335" s="391"/>
      <c r="F335" s="4"/>
      <c r="G335" s="4"/>
      <c r="H335" s="4"/>
      <c r="I335" s="4"/>
      <c r="J335" s="4"/>
      <c r="K335" s="4"/>
      <c r="L335" s="4"/>
      <c r="M335" s="4"/>
      <c r="N335" s="4"/>
    </row>
    <row r="336" spans="1:14">
      <c r="A336" s="4"/>
      <c r="B336" s="4"/>
      <c r="C336" s="390"/>
      <c r="D336" s="390"/>
      <c r="E336" s="391"/>
      <c r="F336" s="4"/>
      <c r="G336" s="4"/>
      <c r="H336" s="4"/>
      <c r="I336" s="4"/>
      <c r="J336" s="4"/>
      <c r="K336" s="4"/>
      <c r="L336" s="4"/>
      <c r="M336" s="4"/>
      <c r="N336" s="4"/>
    </row>
    <row r="337" spans="1:14">
      <c r="A337" s="4"/>
      <c r="B337" s="4"/>
      <c r="C337" s="390"/>
      <c r="D337" s="390"/>
      <c r="E337" s="391"/>
      <c r="F337" s="4"/>
      <c r="G337" s="4"/>
      <c r="H337" s="4"/>
      <c r="I337" s="4"/>
      <c r="J337" s="4"/>
      <c r="K337" s="4"/>
      <c r="L337" s="4"/>
      <c r="M337" s="4"/>
      <c r="N337" s="4"/>
    </row>
    <row r="338" spans="1:14">
      <c r="A338" s="4"/>
      <c r="B338" s="4"/>
      <c r="C338" s="390"/>
      <c r="D338" s="390"/>
      <c r="E338" s="391"/>
      <c r="F338" s="4"/>
      <c r="G338" s="4"/>
      <c r="H338" s="4"/>
      <c r="I338" s="4"/>
      <c r="J338" s="4"/>
      <c r="K338" s="4"/>
      <c r="L338" s="4"/>
      <c r="M338" s="4"/>
      <c r="N338" s="4"/>
    </row>
    <row r="339" spans="1:14">
      <c r="A339" s="4"/>
      <c r="B339" s="4"/>
      <c r="C339" s="390"/>
      <c r="D339" s="390"/>
      <c r="E339" s="391"/>
      <c r="F339" s="4"/>
      <c r="G339" s="4"/>
      <c r="H339" s="4"/>
      <c r="I339" s="4"/>
      <c r="J339" s="4"/>
      <c r="K339" s="4"/>
      <c r="L339" s="4"/>
      <c r="M339" s="4"/>
      <c r="N339" s="4"/>
    </row>
    <row r="340" spans="1:14">
      <c r="A340" s="4"/>
      <c r="B340" s="4"/>
      <c r="C340" s="390"/>
      <c r="D340" s="390"/>
      <c r="E340" s="391"/>
      <c r="F340" s="4"/>
      <c r="G340" s="4"/>
      <c r="H340" s="4"/>
      <c r="I340" s="4"/>
      <c r="J340" s="4"/>
      <c r="K340" s="4"/>
      <c r="L340" s="4"/>
      <c r="M340" s="4"/>
      <c r="N340" s="4"/>
    </row>
    <row r="341" spans="1:14">
      <c r="A341" s="4"/>
      <c r="B341" s="4"/>
      <c r="C341" s="390"/>
      <c r="D341" s="390"/>
      <c r="E341" s="391"/>
      <c r="F341" s="4"/>
      <c r="G341" s="4"/>
      <c r="H341" s="4"/>
      <c r="I341" s="4"/>
      <c r="J341" s="4"/>
      <c r="K341" s="4"/>
      <c r="L341" s="4"/>
      <c r="M341" s="4"/>
      <c r="N341" s="4"/>
    </row>
    <row r="342" spans="1:14">
      <c r="A342" s="4"/>
      <c r="B342" s="4"/>
      <c r="C342" s="390"/>
      <c r="D342" s="390"/>
      <c r="E342" s="391"/>
      <c r="F342" s="4"/>
      <c r="G342" s="4"/>
      <c r="H342" s="4"/>
      <c r="I342" s="4"/>
      <c r="J342" s="4"/>
      <c r="K342" s="4"/>
      <c r="L342" s="4"/>
      <c r="M342" s="4"/>
      <c r="N342" s="4"/>
    </row>
    <row r="343" spans="1:14">
      <c r="A343" s="4"/>
      <c r="B343" s="4"/>
      <c r="C343" s="390"/>
      <c r="D343" s="390"/>
      <c r="E343" s="391"/>
      <c r="F343" s="4"/>
      <c r="G343" s="4"/>
      <c r="H343" s="4"/>
      <c r="I343" s="4"/>
      <c r="J343" s="4"/>
      <c r="K343" s="4"/>
      <c r="L343" s="4"/>
      <c r="M343" s="4"/>
      <c r="N343" s="4"/>
    </row>
    <row r="344" spans="1:14">
      <c r="A344" s="4"/>
      <c r="B344" s="4"/>
      <c r="C344" s="390"/>
      <c r="D344" s="390"/>
      <c r="E344" s="391"/>
      <c r="F344" s="4"/>
      <c r="G344" s="4"/>
      <c r="H344" s="4"/>
      <c r="I344" s="4"/>
      <c r="J344" s="4"/>
      <c r="K344" s="4"/>
      <c r="L344" s="4"/>
      <c r="M344" s="4"/>
      <c r="N344" s="4"/>
    </row>
    <row r="345" spans="1:14">
      <c r="A345" s="4"/>
      <c r="B345" s="4"/>
      <c r="C345" s="390"/>
      <c r="D345" s="390"/>
      <c r="E345" s="391"/>
      <c r="F345" s="4"/>
      <c r="G345" s="4"/>
      <c r="H345" s="4"/>
      <c r="I345" s="4"/>
      <c r="J345" s="4"/>
      <c r="K345" s="4"/>
      <c r="L345" s="4"/>
      <c r="M345" s="4"/>
      <c r="N345" s="4"/>
    </row>
    <row r="346" spans="1:14">
      <c r="A346" s="4"/>
      <c r="B346" s="4"/>
      <c r="C346" s="390"/>
      <c r="D346" s="390"/>
      <c r="E346" s="391"/>
      <c r="F346" s="4"/>
      <c r="G346" s="4"/>
      <c r="H346" s="4"/>
      <c r="I346" s="4"/>
      <c r="J346" s="4"/>
      <c r="K346" s="4"/>
      <c r="L346" s="4"/>
      <c r="M346" s="4"/>
      <c r="N346" s="4"/>
    </row>
    <row r="347" spans="1:14">
      <c r="A347" s="4"/>
      <c r="B347" s="4"/>
      <c r="C347" s="390"/>
      <c r="D347" s="390"/>
      <c r="E347" s="391"/>
      <c r="F347" s="4"/>
      <c r="G347" s="4"/>
      <c r="H347" s="4"/>
      <c r="I347" s="4"/>
      <c r="J347" s="4"/>
      <c r="K347" s="4"/>
      <c r="L347" s="4"/>
      <c r="M347" s="4"/>
      <c r="N347" s="4"/>
    </row>
    <row r="348" spans="1:14">
      <c r="A348" s="4"/>
      <c r="B348" s="4"/>
      <c r="C348" s="390"/>
      <c r="D348" s="390"/>
      <c r="E348" s="391"/>
      <c r="F348" s="4"/>
      <c r="G348" s="4"/>
      <c r="H348" s="4"/>
      <c r="I348" s="4"/>
      <c r="J348" s="4"/>
      <c r="K348" s="4"/>
      <c r="L348" s="4"/>
      <c r="M348" s="4"/>
      <c r="N348" s="4"/>
    </row>
    <row r="349" spans="1:14">
      <c r="A349" s="4"/>
      <c r="B349" s="4"/>
      <c r="C349" s="390"/>
      <c r="D349" s="390"/>
      <c r="E349" s="391"/>
      <c r="F349" s="4"/>
      <c r="G349" s="4"/>
      <c r="H349" s="4"/>
      <c r="I349" s="4"/>
      <c r="J349" s="4"/>
      <c r="K349" s="4"/>
      <c r="L349" s="4"/>
      <c r="M349" s="4"/>
      <c r="N349" s="4"/>
    </row>
    <row r="350" spans="1:14">
      <c r="A350" s="4"/>
      <c r="B350" s="4"/>
      <c r="C350" s="390"/>
      <c r="D350" s="390"/>
      <c r="E350" s="391"/>
      <c r="F350" s="4"/>
      <c r="G350" s="4"/>
      <c r="H350" s="4"/>
      <c r="I350" s="4"/>
      <c r="J350" s="4"/>
      <c r="K350" s="4"/>
      <c r="L350" s="4"/>
      <c r="M350" s="4"/>
      <c r="N350" s="4"/>
    </row>
    <row r="351" spans="1:14">
      <c r="A351" s="4"/>
      <c r="B351" s="4"/>
      <c r="C351" s="390"/>
      <c r="D351" s="390"/>
      <c r="E351" s="391"/>
      <c r="F351" s="4"/>
      <c r="G351" s="4"/>
      <c r="H351" s="4"/>
      <c r="I351" s="4"/>
      <c r="J351" s="4"/>
      <c r="K351" s="4"/>
      <c r="L351" s="4"/>
      <c r="M351" s="4"/>
      <c r="N351" s="4"/>
    </row>
    <row r="352" spans="1:14">
      <c r="A352" s="4"/>
      <c r="B352" s="4"/>
      <c r="C352" s="390"/>
      <c r="D352" s="390"/>
      <c r="E352" s="391"/>
      <c r="F352" s="4"/>
      <c r="G352" s="4"/>
      <c r="H352" s="4"/>
      <c r="I352" s="4"/>
      <c r="J352" s="4"/>
      <c r="K352" s="4"/>
      <c r="L352" s="4"/>
      <c r="M352" s="4"/>
      <c r="N352" s="4"/>
    </row>
    <row r="353" spans="1:14">
      <c r="A353" s="4"/>
      <c r="B353" s="4"/>
      <c r="C353" s="390"/>
      <c r="D353" s="390"/>
      <c r="E353" s="391"/>
      <c r="F353" s="4"/>
      <c r="G353" s="4"/>
      <c r="H353" s="4"/>
      <c r="I353" s="4"/>
      <c r="J353" s="4"/>
      <c r="K353" s="4"/>
      <c r="L353" s="4"/>
      <c r="M353" s="4"/>
      <c r="N353" s="4"/>
    </row>
    <row r="354" spans="1:14">
      <c r="A354" s="4"/>
      <c r="B354" s="4"/>
      <c r="C354" s="390"/>
      <c r="D354" s="390"/>
      <c r="E354" s="391"/>
      <c r="F354" s="4"/>
      <c r="G354" s="4"/>
      <c r="H354" s="4"/>
      <c r="I354" s="4"/>
      <c r="J354" s="4"/>
      <c r="K354" s="4"/>
      <c r="L354" s="4"/>
      <c r="M354" s="4"/>
      <c r="N354" s="4"/>
    </row>
    <row r="355" spans="1:14">
      <c r="A355" s="4"/>
      <c r="B355" s="4"/>
      <c r="C355" s="390"/>
      <c r="D355" s="390"/>
      <c r="E355" s="391"/>
      <c r="F355" s="4"/>
      <c r="G355" s="4"/>
      <c r="H355" s="4"/>
      <c r="I355" s="4"/>
      <c r="J355" s="4"/>
      <c r="K355" s="4"/>
      <c r="L355" s="4"/>
      <c r="M355" s="4"/>
      <c r="N355" s="4"/>
    </row>
    <row r="356" spans="1:14">
      <c r="A356" s="4"/>
      <c r="B356" s="4"/>
      <c r="C356" s="390"/>
      <c r="D356" s="390"/>
      <c r="E356" s="391"/>
      <c r="F356" s="4"/>
      <c r="G356" s="4"/>
      <c r="H356" s="4"/>
      <c r="I356" s="4"/>
      <c r="J356" s="4"/>
      <c r="K356" s="4"/>
      <c r="L356" s="4"/>
      <c r="M356" s="4"/>
      <c r="N356" s="4"/>
    </row>
    <row r="357" spans="1:14">
      <c r="A357" s="4"/>
      <c r="B357" s="4"/>
      <c r="C357" s="390"/>
      <c r="D357" s="390"/>
      <c r="E357" s="391"/>
      <c r="F357" s="4"/>
      <c r="G357" s="4"/>
      <c r="H357" s="4"/>
      <c r="I357" s="4"/>
      <c r="J357" s="4"/>
      <c r="K357" s="4"/>
      <c r="L357" s="4"/>
      <c r="M357" s="4"/>
      <c r="N357" s="4"/>
    </row>
    <row r="358" spans="1:14">
      <c r="A358" s="4"/>
      <c r="B358" s="4"/>
      <c r="C358" s="390"/>
      <c r="D358" s="390"/>
      <c r="E358" s="391"/>
      <c r="F358" s="4"/>
      <c r="G358" s="4"/>
      <c r="H358" s="4"/>
      <c r="I358" s="4"/>
      <c r="J358" s="4"/>
      <c r="K358" s="4"/>
      <c r="L358" s="4"/>
      <c r="M358" s="4"/>
      <c r="N358" s="4"/>
    </row>
    <row r="359" spans="1:14">
      <c r="A359" s="4"/>
      <c r="B359" s="4"/>
      <c r="C359" s="390"/>
      <c r="D359" s="390"/>
      <c r="E359" s="391"/>
      <c r="F359" s="4"/>
      <c r="G359" s="4"/>
      <c r="H359" s="4"/>
      <c r="I359" s="4"/>
      <c r="J359" s="4"/>
      <c r="K359" s="4"/>
      <c r="L359" s="4"/>
      <c r="M359" s="4"/>
      <c r="N359" s="4"/>
    </row>
    <row r="360" spans="1:14">
      <c r="A360" s="4"/>
      <c r="B360" s="4"/>
      <c r="C360" s="390"/>
      <c r="D360" s="390"/>
      <c r="E360" s="391"/>
      <c r="F360" s="4"/>
      <c r="G360" s="4"/>
      <c r="H360" s="4"/>
      <c r="I360" s="4"/>
      <c r="J360" s="4"/>
      <c r="K360" s="4"/>
      <c r="L360" s="4"/>
      <c r="M360" s="4"/>
      <c r="N360" s="4"/>
    </row>
    <row r="361" spans="1:14">
      <c r="A361" s="4"/>
      <c r="B361" s="4"/>
      <c r="C361" s="390"/>
      <c r="D361" s="390"/>
      <c r="E361" s="391"/>
      <c r="F361" s="4"/>
      <c r="G361" s="4"/>
      <c r="H361" s="4"/>
      <c r="I361" s="4"/>
      <c r="J361" s="4"/>
      <c r="K361" s="4"/>
      <c r="L361" s="4"/>
      <c r="M361" s="4"/>
      <c r="N361" s="4"/>
    </row>
    <row r="362" spans="1:14">
      <c r="A362" s="4"/>
      <c r="B362" s="4"/>
      <c r="C362" s="390"/>
      <c r="D362" s="390"/>
      <c r="E362" s="391"/>
      <c r="F362" s="4"/>
      <c r="G362" s="4"/>
      <c r="H362" s="4"/>
      <c r="I362" s="4"/>
      <c r="J362" s="4"/>
      <c r="K362" s="4"/>
      <c r="L362" s="4"/>
      <c r="M362" s="4"/>
      <c r="N362" s="4"/>
    </row>
    <row r="363" spans="1:14">
      <c r="A363" s="4"/>
      <c r="B363" s="4"/>
      <c r="C363" s="390"/>
      <c r="D363" s="390"/>
      <c r="E363" s="391"/>
      <c r="F363" s="4"/>
      <c r="G363" s="4"/>
      <c r="H363" s="4"/>
      <c r="I363" s="4"/>
      <c r="J363" s="4"/>
      <c r="K363" s="4"/>
      <c r="L363" s="4"/>
      <c r="M363" s="4"/>
      <c r="N363" s="4"/>
    </row>
    <row r="364" spans="1:14">
      <c r="A364" s="4"/>
      <c r="B364" s="4"/>
      <c r="C364" s="390"/>
      <c r="D364" s="390"/>
      <c r="E364" s="391"/>
      <c r="F364" s="4"/>
      <c r="G364" s="4"/>
      <c r="H364" s="4"/>
      <c r="I364" s="4"/>
      <c r="J364" s="4"/>
      <c r="K364" s="4"/>
      <c r="L364" s="4"/>
      <c r="M364" s="4"/>
      <c r="N364" s="4"/>
    </row>
    <row r="365" spans="1:14">
      <c r="A365" s="4"/>
      <c r="B365" s="4"/>
      <c r="C365" s="390"/>
      <c r="D365" s="390"/>
      <c r="E365" s="391"/>
      <c r="F365" s="4"/>
      <c r="G365" s="4"/>
      <c r="H365" s="4"/>
      <c r="I365" s="4"/>
      <c r="J365" s="4"/>
      <c r="K365" s="4"/>
      <c r="L365" s="4"/>
      <c r="M365" s="4"/>
      <c r="N365" s="4"/>
    </row>
    <row r="366" spans="1:14">
      <c r="A366" s="4"/>
      <c r="B366" s="4"/>
      <c r="C366" s="390"/>
      <c r="D366" s="390"/>
      <c r="E366" s="391"/>
      <c r="F366" s="4"/>
      <c r="G366" s="4"/>
      <c r="H366" s="4"/>
      <c r="I366" s="4"/>
      <c r="J366" s="4"/>
      <c r="K366" s="4"/>
      <c r="L366" s="4"/>
      <c r="M366" s="4"/>
      <c r="N366" s="4"/>
    </row>
    <row r="367" spans="1:14">
      <c r="A367" s="4"/>
      <c r="B367" s="4"/>
      <c r="C367" s="390"/>
      <c r="D367" s="390"/>
      <c r="E367" s="391"/>
      <c r="F367" s="4"/>
      <c r="G367" s="4"/>
      <c r="H367" s="4"/>
      <c r="I367" s="4"/>
      <c r="J367" s="4"/>
      <c r="K367" s="4"/>
      <c r="L367" s="4"/>
      <c r="M367" s="4"/>
      <c r="N367" s="4"/>
    </row>
    <row r="368" spans="1:14">
      <c r="A368" s="4"/>
      <c r="B368" s="4"/>
      <c r="C368" s="390"/>
      <c r="D368" s="390"/>
      <c r="E368" s="391"/>
      <c r="F368" s="4"/>
      <c r="G368" s="4"/>
      <c r="H368" s="4"/>
      <c r="I368" s="4"/>
      <c r="J368" s="4"/>
      <c r="K368" s="4"/>
      <c r="L368" s="4"/>
      <c r="M368" s="4"/>
      <c r="N368" s="4"/>
    </row>
    <row r="369" spans="1:14">
      <c r="A369" s="4"/>
      <c r="B369" s="4"/>
      <c r="C369" s="390"/>
      <c r="D369" s="390"/>
      <c r="E369" s="391"/>
      <c r="F369" s="4"/>
      <c r="G369" s="4"/>
      <c r="H369" s="4"/>
      <c r="I369" s="4"/>
      <c r="J369" s="4"/>
      <c r="K369" s="4"/>
      <c r="L369" s="4"/>
      <c r="M369" s="4"/>
      <c r="N369" s="4"/>
    </row>
    <row r="370" spans="1:14">
      <c r="A370" s="4"/>
      <c r="B370" s="4"/>
      <c r="C370" s="390"/>
      <c r="D370" s="390"/>
      <c r="E370" s="391"/>
      <c r="F370" s="4"/>
      <c r="G370" s="4"/>
      <c r="H370" s="4"/>
      <c r="I370" s="4"/>
      <c r="J370" s="4"/>
      <c r="K370" s="4"/>
      <c r="L370" s="4"/>
      <c r="M370" s="4"/>
      <c r="N370" s="4"/>
    </row>
    <row r="371" spans="1:14">
      <c r="A371" s="4"/>
      <c r="B371" s="4"/>
      <c r="C371" s="390"/>
      <c r="D371" s="390"/>
      <c r="E371" s="391"/>
      <c r="F371" s="4"/>
      <c r="G371" s="4"/>
      <c r="H371" s="4"/>
      <c r="I371" s="4"/>
      <c r="J371" s="4"/>
      <c r="K371" s="4"/>
      <c r="L371" s="4"/>
      <c r="M371" s="4"/>
      <c r="N371" s="4"/>
    </row>
    <row r="372" spans="1:14">
      <c r="A372" s="4"/>
      <c r="B372" s="4"/>
      <c r="C372" s="390"/>
      <c r="D372" s="390"/>
      <c r="E372" s="391"/>
      <c r="F372" s="4"/>
      <c r="G372" s="4"/>
      <c r="H372" s="4"/>
      <c r="I372" s="4"/>
      <c r="J372" s="4"/>
      <c r="K372" s="4"/>
      <c r="L372" s="4"/>
      <c r="M372" s="4"/>
      <c r="N372" s="4"/>
    </row>
    <row r="373" spans="1:14">
      <c r="A373" s="4"/>
      <c r="B373" s="4"/>
      <c r="C373" s="390"/>
      <c r="D373" s="390"/>
      <c r="E373" s="391"/>
      <c r="F373" s="4"/>
      <c r="G373" s="4"/>
      <c r="H373" s="4"/>
      <c r="I373" s="4"/>
      <c r="J373" s="4"/>
      <c r="K373" s="4"/>
      <c r="L373" s="4"/>
      <c r="M373" s="4"/>
      <c r="N373" s="4"/>
    </row>
    <row r="374" spans="1:14">
      <c r="A374" s="4"/>
      <c r="B374" s="4"/>
      <c r="C374" s="390"/>
      <c r="D374" s="390"/>
      <c r="E374" s="391"/>
      <c r="F374" s="4"/>
      <c r="G374" s="4"/>
      <c r="H374" s="4"/>
      <c r="I374" s="4"/>
      <c r="J374" s="4"/>
      <c r="K374" s="4"/>
      <c r="L374" s="4"/>
      <c r="M374" s="4"/>
      <c r="N374" s="4"/>
    </row>
    <row r="375" spans="1:14">
      <c r="A375" s="4"/>
      <c r="B375" s="4"/>
      <c r="C375" s="390"/>
      <c r="D375" s="390"/>
      <c r="E375" s="391"/>
      <c r="F375" s="4"/>
      <c r="G375" s="4"/>
      <c r="H375" s="4"/>
      <c r="I375" s="4"/>
      <c r="J375" s="4"/>
      <c r="K375" s="4"/>
      <c r="L375" s="4"/>
      <c r="M375" s="4"/>
      <c r="N375" s="4"/>
    </row>
    <row r="376" spans="1:14">
      <c r="A376" s="4"/>
      <c r="B376" s="4"/>
      <c r="C376" s="390"/>
      <c r="D376" s="390"/>
      <c r="E376" s="391"/>
      <c r="F376" s="4"/>
      <c r="G376" s="4"/>
      <c r="H376" s="4"/>
      <c r="I376" s="4"/>
      <c r="J376" s="4"/>
      <c r="K376" s="4"/>
      <c r="L376" s="4"/>
      <c r="M376" s="4"/>
      <c r="N376" s="4"/>
    </row>
    <row r="377" spans="1:14">
      <c r="A377" s="4"/>
      <c r="B377" s="4"/>
      <c r="C377" s="390"/>
      <c r="D377" s="390"/>
      <c r="E377" s="391"/>
      <c r="F377" s="4"/>
      <c r="G377" s="4"/>
      <c r="H377" s="4"/>
      <c r="I377" s="4"/>
      <c r="J377" s="4"/>
      <c r="K377" s="4"/>
      <c r="L377" s="4"/>
      <c r="M377" s="4"/>
      <c r="N377" s="4"/>
    </row>
    <row r="378" spans="1:14">
      <c r="A378" s="4"/>
      <c r="B378" s="4"/>
      <c r="C378" s="390"/>
      <c r="D378" s="390"/>
      <c r="E378" s="391"/>
      <c r="F378" s="4"/>
      <c r="G378" s="4"/>
      <c r="H378" s="4"/>
      <c r="I378" s="4"/>
      <c r="J378" s="4"/>
      <c r="K378" s="4"/>
      <c r="L378" s="4"/>
      <c r="M378" s="4"/>
      <c r="N378" s="4"/>
    </row>
    <row r="379" spans="1:14">
      <c r="A379" s="4"/>
      <c r="B379" s="4"/>
      <c r="C379" s="390"/>
      <c r="D379" s="390"/>
      <c r="E379" s="391"/>
      <c r="F379" s="4"/>
      <c r="G379" s="4"/>
      <c r="H379" s="4"/>
      <c r="I379" s="4"/>
      <c r="J379" s="4"/>
      <c r="K379" s="4"/>
      <c r="L379" s="4"/>
      <c r="M379" s="4"/>
      <c r="N379" s="4"/>
    </row>
    <row r="380" spans="1:14">
      <c r="A380" s="4"/>
      <c r="B380" s="4"/>
      <c r="C380" s="390"/>
      <c r="D380" s="390"/>
      <c r="E380" s="391"/>
      <c r="F380" s="4"/>
      <c r="G380" s="4"/>
      <c r="H380" s="4"/>
      <c r="I380" s="4"/>
      <c r="J380" s="4"/>
      <c r="K380" s="4"/>
      <c r="L380" s="4"/>
      <c r="M380" s="4"/>
      <c r="N380" s="4"/>
    </row>
    <row r="381" spans="1:14">
      <c r="A381" s="4"/>
      <c r="B381" s="4"/>
      <c r="C381" s="390"/>
      <c r="D381" s="390"/>
      <c r="E381" s="391"/>
      <c r="F381" s="4"/>
      <c r="G381" s="4"/>
      <c r="H381" s="4"/>
      <c r="I381" s="4"/>
      <c r="J381" s="4"/>
      <c r="K381" s="4"/>
      <c r="L381" s="4"/>
      <c r="M381" s="4"/>
      <c r="N381" s="4"/>
    </row>
    <row r="382" spans="1:14">
      <c r="A382" s="4"/>
      <c r="B382" s="4"/>
      <c r="C382" s="390"/>
      <c r="D382" s="390"/>
      <c r="E382" s="391"/>
      <c r="F382" s="4"/>
      <c r="G382" s="4"/>
      <c r="H382" s="4"/>
      <c r="I382" s="4"/>
      <c r="J382" s="4"/>
      <c r="K382" s="4"/>
      <c r="L382" s="4"/>
      <c r="M382" s="4"/>
      <c r="N382" s="4"/>
    </row>
    <row r="383" spans="1:14">
      <c r="A383" s="4"/>
      <c r="B383" s="4"/>
      <c r="C383" s="390"/>
      <c r="D383" s="390"/>
      <c r="E383" s="391"/>
      <c r="F383" s="4"/>
      <c r="G383" s="4"/>
      <c r="H383" s="4"/>
      <c r="I383" s="4"/>
      <c r="J383" s="4"/>
      <c r="K383" s="4"/>
      <c r="L383" s="4"/>
      <c r="M383" s="4"/>
      <c r="N383" s="4"/>
    </row>
    <row r="384" spans="1:14">
      <c r="A384" s="4"/>
      <c r="B384" s="4"/>
      <c r="C384" s="390"/>
      <c r="D384" s="390"/>
      <c r="E384" s="391"/>
      <c r="F384" s="4"/>
      <c r="G384" s="4"/>
      <c r="H384" s="4"/>
      <c r="I384" s="4"/>
      <c r="J384" s="4"/>
      <c r="K384" s="4"/>
      <c r="L384" s="4"/>
      <c r="M384" s="4"/>
      <c r="N384" s="4"/>
    </row>
    <row r="385" spans="1:14">
      <c r="A385" s="4"/>
      <c r="B385" s="4"/>
      <c r="C385" s="390"/>
      <c r="D385" s="390"/>
      <c r="E385" s="391"/>
      <c r="F385" s="4"/>
      <c r="G385" s="4"/>
      <c r="H385" s="4"/>
      <c r="I385" s="4"/>
      <c r="J385" s="4"/>
      <c r="K385" s="4"/>
      <c r="L385" s="4"/>
      <c r="M385" s="4"/>
      <c r="N385" s="4"/>
    </row>
    <row r="386" spans="1:14">
      <c r="A386" s="4"/>
      <c r="B386" s="4"/>
      <c r="C386" s="390"/>
      <c r="D386" s="390"/>
      <c r="E386" s="391"/>
      <c r="F386" s="4"/>
      <c r="G386" s="4"/>
      <c r="H386" s="4"/>
      <c r="I386" s="4"/>
      <c r="J386" s="4"/>
      <c r="K386" s="4"/>
      <c r="L386" s="4"/>
      <c r="M386" s="4"/>
      <c r="N386" s="4"/>
    </row>
    <row r="387" spans="1:14">
      <c r="A387" s="4"/>
      <c r="B387" s="4"/>
      <c r="C387" s="390"/>
      <c r="D387" s="390"/>
      <c r="E387" s="391"/>
      <c r="F387" s="4"/>
      <c r="G387" s="4"/>
      <c r="H387" s="4"/>
      <c r="I387" s="4"/>
      <c r="J387" s="4"/>
      <c r="K387" s="4"/>
      <c r="L387" s="4"/>
      <c r="M387" s="4"/>
      <c r="N387" s="4"/>
    </row>
    <row r="388" spans="1:14">
      <c r="A388" s="4"/>
      <c r="B388" s="4"/>
      <c r="C388" s="390"/>
      <c r="D388" s="390"/>
      <c r="E388" s="391"/>
      <c r="F388" s="4"/>
      <c r="G388" s="4"/>
      <c r="H388" s="4"/>
      <c r="I388" s="4"/>
      <c r="J388" s="4"/>
      <c r="K388" s="4"/>
      <c r="L388" s="4"/>
      <c r="M388" s="4"/>
      <c r="N388" s="4"/>
    </row>
    <row r="389" spans="1:14">
      <c r="A389" s="4"/>
      <c r="B389" s="4"/>
      <c r="C389" s="390"/>
      <c r="D389" s="390"/>
      <c r="E389" s="391"/>
      <c r="F389" s="4"/>
      <c r="G389" s="4"/>
      <c r="H389" s="4"/>
      <c r="I389" s="4"/>
      <c r="J389" s="4"/>
      <c r="K389" s="4"/>
      <c r="L389" s="4"/>
      <c r="M389" s="4"/>
      <c r="N389" s="4"/>
    </row>
    <row r="390" spans="1:14">
      <c r="A390" s="4"/>
      <c r="B390" s="4"/>
      <c r="C390" s="390"/>
      <c r="D390" s="390"/>
      <c r="E390" s="391"/>
      <c r="F390" s="4"/>
      <c r="G390" s="4"/>
      <c r="H390" s="4"/>
      <c r="I390" s="4"/>
      <c r="J390" s="4"/>
      <c r="K390" s="4"/>
      <c r="L390" s="4"/>
      <c r="M390" s="4"/>
      <c r="N390" s="4"/>
    </row>
    <row r="391" spans="1:14">
      <c r="A391" s="4"/>
      <c r="B391" s="4"/>
      <c r="C391" s="390"/>
      <c r="D391" s="390"/>
      <c r="E391" s="391"/>
      <c r="F391" s="4"/>
      <c r="G391" s="4"/>
      <c r="H391" s="4"/>
      <c r="I391" s="4"/>
      <c r="J391" s="4"/>
      <c r="K391" s="4"/>
      <c r="L391" s="4"/>
      <c r="M391" s="4"/>
      <c r="N391" s="4"/>
    </row>
    <row r="392" spans="1:14">
      <c r="A392" s="4"/>
      <c r="B392" s="4"/>
      <c r="C392" s="390"/>
      <c r="D392" s="390"/>
      <c r="E392" s="391"/>
      <c r="F392" s="4"/>
      <c r="G392" s="4"/>
      <c r="H392" s="4"/>
      <c r="I392" s="4"/>
      <c r="J392" s="4"/>
      <c r="K392" s="4"/>
      <c r="L392" s="4"/>
      <c r="M392" s="4"/>
      <c r="N392" s="4"/>
    </row>
    <row r="393" spans="1:14">
      <c r="A393" s="4"/>
      <c r="B393" s="4"/>
      <c r="C393" s="390"/>
      <c r="D393" s="390"/>
      <c r="E393" s="391"/>
      <c r="F393" s="4"/>
      <c r="G393" s="4"/>
      <c r="H393" s="4"/>
      <c r="I393" s="4"/>
      <c r="J393" s="4"/>
      <c r="K393" s="4"/>
      <c r="L393" s="4"/>
      <c r="M393" s="4"/>
      <c r="N393" s="4"/>
    </row>
    <row r="394" spans="1:14">
      <c r="A394" s="4"/>
      <c r="B394" s="4"/>
      <c r="C394" s="390"/>
      <c r="D394" s="390"/>
      <c r="E394" s="391"/>
      <c r="F394" s="4"/>
      <c r="G394" s="4"/>
      <c r="H394" s="4"/>
      <c r="I394" s="4"/>
      <c r="J394" s="4"/>
      <c r="K394" s="4"/>
      <c r="L394" s="4"/>
      <c r="M394" s="4"/>
      <c r="N394" s="4"/>
    </row>
    <row r="395" spans="1:14">
      <c r="A395" s="4"/>
      <c r="B395" s="4"/>
      <c r="C395" s="390"/>
      <c r="D395" s="390"/>
      <c r="E395" s="391"/>
      <c r="F395" s="4"/>
      <c r="G395" s="4"/>
      <c r="H395" s="4"/>
      <c r="I395" s="4"/>
      <c r="J395" s="4"/>
      <c r="K395" s="4"/>
      <c r="L395" s="4"/>
      <c r="M395" s="4"/>
      <c r="N395" s="4"/>
    </row>
    <row r="396" spans="1:14">
      <c r="A396" s="4"/>
      <c r="B396" s="4"/>
      <c r="C396" s="390"/>
      <c r="D396" s="390"/>
      <c r="E396" s="391"/>
      <c r="F396" s="4"/>
      <c r="G396" s="4"/>
      <c r="H396" s="4"/>
      <c r="I396" s="4"/>
      <c r="J396" s="4"/>
      <c r="K396" s="4"/>
      <c r="L396" s="4"/>
      <c r="M396" s="4"/>
      <c r="N396" s="4"/>
    </row>
    <row r="397" spans="1:14">
      <c r="A397" s="4"/>
      <c r="B397" s="4"/>
      <c r="C397" s="390"/>
      <c r="D397" s="390"/>
      <c r="E397" s="391"/>
      <c r="F397" s="4"/>
      <c r="G397" s="4"/>
      <c r="H397" s="4"/>
      <c r="I397" s="4"/>
      <c r="J397" s="4"/>
      <c r="K397" s="4"/>
      <c r="L397" s="4"/>
      <c r="M397" s="4"/>
      <c r="N397" s="4"/>
    </row>
    <row r="398" spans="1:14">
      <c r="A398" s="4"/>
      <c r="B398" s="4"/>
      <c r="C398" s="390"/>
      <c r="D398" s="390"/>
      <c r="E398" s="391"/>
      <c r="F398" s="4"/>
      <c r="G398" s="4"/>
      <c r="H398" s="4"/>
      <c r="I398" s="4"/>
      <c r="J398" s="4"/>
      <c r="K398" s="4"/>
      <c r="L398" s="4"/>
      <c r="M398" s="4"/>
      <c r="N398" s="4"/>
    </row>
    <row r="399" spans="1:14">
      <c r="A399" s="4"/>
      <c r="B399" s="4"/>
      <c r="C399" s="390"/>
      <c r="D399" s="390"/>
      <c r="E399" s="391"/>
      <c r="F399" s="4"/>
      <c r="G399" s="4"/>
      <c r="H399" s="4"/>
      <c r="I399" s="4"/>
      <c r="J399" s="4"/>
      <c r="K399" s="4"/>
      <c r="L399" s="4"/>
      <c r="M399" s="4"/>
      <c r="N399" s="4"/>
    </row>
    <row r="400" spans="1:14">
      <c r="A400" s="4"/>
      <c r="B400" s="4"/>
      <c r="C400" s="390"/>
      <c r="D400" s="390"/>
      <c r="E400" s="391"/>
      <c r="F400" s="4"/>
      <c r="G400" s="4"/>
      <c r="H400" s="4"/>
      <c r="I400" s="4"/>
      <c r="J400" s="4"/>
      <c r="K400" s="4"/>
      <c r="L400" s="4"/>
      <c r="M400" s="4"/>
      <c r="N400" s="4"/>
    </row>
    <row r="401" spans="1:14">
      <c r="A401" s="4"/>
      <c r="B401" s="4"/>
      <c r="C401" s="390"/>
      <c r="D401" s="390"/>
      <c r="E401" s="391"/>
      <c r="F401" s="4"/>
      <c r="G401" s="4"/>
      <c r="H401" s="4"/>
      <c r="I401" s="4"/>
      <c r="J401" s="4"/>
      <c r="K401" s="4"/>
      <c r="L401" s="4"/>
      <c r="M401" s="4"/>
      <c r="N401" s="4"/>
    </row>
    <row r="402" spans="1:14">
      <c r="A402" s="4"/>
      <c r="B402" s="4"/>
      <c r="C402" s="390"/>
      <c r="D402" s="390"/>
      <c r="E402" s="391"/>
      <c r="F402" s="4"/>
      <c r="G402" s="4"/>
      <c r="H402" s="4"/>
      <c r="I402" s="4"/>
      <c r="J402" s="4"/>
      <c r="K402" s="4"/>
      <c r="L402" s="4"/>
      <c r="M402" s="4"/>
      <c r="N402" s="4"/>
    </row>
    <row r="403" spans="1:14">
      <c r="A403" s="4"/>
      <c r="B403" s="4"/>
      <c r="C403" s="390"/>
      <c r="D403" s="390"/>
      <c r="E403" s="391"/>
      <c r="F403" s="4"/>
      <c r="G403" s="4"/>
      <c r="H403" s="4"/>
      <c r="I403" s="4"/>
      <c r="J403" s="4"/>
      <c r="K403" s="4"/>
      <c r="L403" s="4"/>
      <c r="M403" s="4"/>
      <c r="N403" s="4"/>
    </row>
    <row r="404" spans="1:14">
      <c r="A404" s="4"/>
      <c r="B404" s="4"/>
      <c r="C404" s="390"/>
      <c r="D404" s="390"/>
      <c r="E404" s="391"/>
      <c r="F404" s="4"/>
      <c r="G404" s="4"/>
      <c r="H404" s="4"/>
      <c r="I404" s="4"/>
      <c r="J404" s="4"/>
      <c r="K404" s="4"/>
      <c r="L404" s="4"/>
      <c r="M404" s="4"/>
      <c r="N404" s="4"/>
    </row>
    <row r="405" spans="1:14">
      <c r="A405" s="4"/>
      <c r="B405" s="4"/>
      <c r="C405" s="390"/>
      <c r="D405" s="390"/>
      <c r="E405" s="391"/>
      <c r="F405" s="4"/>
      <c r="G405" s="4"/>
      <c r="H405" s="4"/>
      <c r="I405" s="4"/>
      <c r="J405" s="4"/>
      <c r="K405" s="4"/>
      <c r="L405" s="4"/>
      <c r="M405" s="4"/>
      <c r="N405" s="4"/>
    </row>
    <row r="406" spans="1:14">
      <c r="A406" s="4"/>
      <c r="B406" s="4"/>
      <c r="C406" s="390"/>
      <c r="D406" s="390"/>
      <c r="E406" s="391"/>
      <c r="F406" s="4"/>
      <c r="G406" s="4"/>
      <c r="H406" s="4"/>
      <c r="I406" s="4"/>
      <c r="J406" s="4"/>
      <c r="K406" s="4"/>
      <c r="L406" s="4"/>
      <c r="M406" s="4"/>
      <c r="N406" s="4"/>
    </row>
    <row r="407" spans="1:14">
      <c r="A407" s="4"/>
      <c r="B407" s="4"/>
      <c r="C407" s="390"/>
      <c r="D407" s="390"/>
      <c r="E407" s="391"/>
      <c r="F407" s="4"/>
      <c r="G407" s="4"/>
      <c r="H407" s="4"/>
      <c r="I407" s="4"/>
      <c r="J407" s="4"/>
      <c r="K407" s="4"/>
      <c r="L407" s="4"/>
      <c r="M407" s="4"/>
      <c r="N407" s="4"/>
    </row>
    <row r="408" spans="1:14">
      <c r="A408" s="4"/>
      <c r="B408" s="4"/>
      <c r="C408" s="390"/>
      <c r="D408" s="390"/>
      <c r="E408" s="391"/>
      <c r="F408" s="4"/>
      <c r="G408" s="4"/>
      <c r="H408" s="4"/>
      <c r="I408" s="4"/>
      <c r="J408" s="4"/>
      <c r="K408" s="4"/>
      <c r="L408" s="4"/>
      <c r="M408" s="4"/>
      <c r="N408" s="4"/>
    </row>
    <row r="409" spans="1:14">
      <c r="A409" s="4"/>
      <c r="B409" s="4"/>
      <c r="C409" s="390"/>
      <c r="D409" s="390"/>
      <c r="E409" s="391"/>
      <c r="F409" s="4"/>
      <c r="G409" s="4"/>
      <c r="H409" s="4"/>
      <c r="I409" s="4"/>
      <c r="J409" s="4"/>
      <c r="K409" s="4"/>
      <c r="L409" s="4"/>
      <c r="M409" s="4"/>
      <c r="N409" s="4"/>
    </row>
    <row r="410" spans="1:14">
      <c r="A410" s="4"/>
      <c r="B410" s="4"/>
      <c r="C410" s="390"/>
      <c r="D410" s="390"/>
      <c r="E410" s="391"/>
      <c r="F410" s="4"/>
      <c r="G410" s="4"/>
      <c r="H410" s="4"/>
      <c r="I410" s="4"/>
      <c r="J410" s="4"/>
      <c r="K410" s="4"/>
      <c r="L410" s="4"/>
      <c r="M410" s="4"/>
      <c r="N410" s="4"/>
    </row>
    <row r="411" spans="1:14">
      <c r="A411" s="4"/>
      <c r="B411" s="4"/>
      <c r="C411" s="390"/>
      <c r="D411" s="390"/>
      <c r="E411" s="391"/>
      <c r="F411" s="4"/>
      <c r="G411" s="4"/>
      <c r="H411" s="4"/>
      <c r="I411" s="4"/>
      <c r="J411" s="4"/>
      <c r="K411" s="4"/>
      <c r="L411" s="4"/>
      <c r="M411" s="4"/>
      <c r="N411" s="4"/>
    </row>
    <row r="412" spans="1:14">
      <c r="A412" s="4"/>
      <c r="B412" s="4"/>
      <c r="C412" s="390"/>
      <c r="D412" s="390"/>
      <c r="E412" s="391"/>
      <c r="F412" s="4"/>
      <c r="G412" s="4"/>
      <c r="H412" s="4"/>
      <c r="I412" s="4"/>
      <c r="J412" s="4"/>
      <c r="K412" s="4"/>
      <c r="L412" s="4"/>
      <c r="M412" s="4"/>
      <c r="N412" s="4"/>
    </row>
    <row r="413" spans="1:14">
      <c r="A413" s="4"/>
      <c r="B413" s="4"/>
      <c r="C413" s="390"/>
      <c r="D413" s="390"/>
      <c r="E413" s="391"/>
      <c r="F413" s="4"/>
      <c r="G413" s="4"/>
      <c r="H413" s="4"/>
      <c r="I413" s="4"/>
      <c r="J413" s="4"/>
      <c r="K413" s="4"/>
      <c r="L413" s="4"/>
      <c r="M413" s="4"/>
      <c r="N413" s="4"/>
    </row>
    <row r="414" spans="1:14">
      <c r="A414" s="4"/>
      <c r="B414" s="4"/>
      <c r="C414" s="390"/>
      <c r="D414" s="390"/>
      <c r="E414" s="391"/>
      <c r="F414" s="4"/>
      <c r="G414" s="4"/>
      <c r="H414" s="4"/>
      <c r="I414" s="4"/>
      <c r="J414" s="4"/>
      <c r="K414" s="4"/>
      <c r="L414" s="4"/>
      <c r="M414" s="4"/>
      <c r="N414" s="4"/>
    </row>
    <row r="415" spans="1:14">
      <c r="A415" s="4"/>
      <c r="B415" s="4"/>
      <c r="C415" s="390"/>
      <c r="D415" s="390"/>
      <c r="E415" s="391"/>
      <c r="F415" s="4"/>
      <c r="G415" s="4"/>
      <c r="H415" s="4"/>
      <c r="I415" s="4"/>
      <c r="J415" s="4"/>
      <c r="K415" s="4"/>
      <c r="L415" s="4"/>
      <c r="M415" s="4"/>
      <c r="N415" s="4"/>
    </row>
    <row r="416" spans="1:14">
      <c r="A416" s="4"/>
      <c r="B416" s="4"/>
      <c r="C416" s="390"/>
      <c r="D416" s="390"/>
      <c r="E416" s="391"/>
      <c r="F416" s="4"/>
      <c r="G416" s="4"/>
      <c r="H416" s="4"/>
      <c r="I416" s="4"/>
      <c r="J416" s="4"/>
      <c r="K416" s="4"/>
      <c r="L416" s="4"/>
      <c r="M416" s="4"/>
      <c r="N416" s="4"/>
    </row>
    <row r="417" spans="1:14">
      <c r="A417" s="4"/>
      <c r="B417" s="4"/>
      <c r="C417" s="390"/>
      <c r="D417" s="390"/>
      <c r="E417" s="391"/>
      <c r="F417" s="4"/>
      <c r="G417" s="4"/>
      <c r="H417" s="4"/>
      <c r="I417" s="4"/>
      <c r="J417" s="4"/>
      <c r="K417" s="4"/>
      <c r="L417" s="4"/>
      <c r="M417" s="4"/>
      <c r="N417" s="4"/>
    </row>
    <row r="418" spans="1:14">
      <c r="A418" s="4"/>
      <c r="B418" s="4"/>
      <c r="C418" s="390"/>
      <c r="D418" s="390"/>
      <c r="E418" s="391"/>
      <c r="F418" s="4"/>
      <c r="G418" s="4"/>
      <c r="H418" s="4"/>
      <c r="I418" s="4"/>
      <c r="J418" s="4"/>
      <c r="K418" s="4"/>
      <c r="L418" s="4"/>
      <c r="M418" s="4"/>
      <c r="N418" s="4"/>
    </row>
    <row r="419" spans="1:14">
      <c r="A419" s="4"/>
      <c r="B419" s="4"/>
      <c r="C419" s="390"/>
      <c r="D419" s="390"/>
      <c r="E419" s="391"/>
      <c r="F419" s="4"/>
      <c r="G419" s="4"/>
      <c r="H419" s="4"/>
      <c r="I419" s="4"/>
      <c r="J419" s="4"/>
      <c r="K419" s="4"/>
      <c r="L419" s="4"/>
      <c r="M419" s="4"/>
      <c r="N419" s="4"/>
    </row>
    <row r="420" spans="1:14">
      <c r="A420" s="4"/>
      <c r="B420" s="4"/>
      <c r="C420" s="390"/>
      <c r="D420" s="390"/>
      <c r="E420" s="391"/>
      <c r="F420" s="4"/>
      <c r="G420" s="4"/>
      <c r="H420" s="4"/>
      <c r="I420" s="4"/>
      <c r="J420" s="4"/>
      <c r="K420" s="4"/>
      <c r="L420" s="4"/>
      <c r="M420" s="4"/>
      <c r="N420" s="4"/>
    </row>
    <row r="421" spans="1:14">
      <c r="A421" s="4"/>
      <c r="B421" s="4"/>
      <c r="C421" s="390"/>
      <c r="D421" s="390"/>
      <c r="E421" s="391"/>
      <c r="F421" s="4"/>
      <c r="G421" s="4"/>
      <c r="H421" s="4"/>
      <c r="I421" s="4"/>
      <c r="J421" s="4"/>
      <c r="K421" s="4"/>
      <c r="L421" s="4"/>
      <c r="M421" s="4"/>
      <c r="N421" s="4"/>
    </row>
    <row r="422" spans="1:14">
      <c r="A422" s="4"/>
      <c r="B422" s="4"/>
      <c r="C422" s="390"/>
      <c r="D422" s="390"/>
      <c r="E422" s="391"/>
      <c r="F422" s="4"/>
      <c r="G422" s="4"/>
      <c r="H422" s="4"/>
      <c r="I422" s="4"/>
      <c r="J422" s="4"/>
      <c r="K422" s="4"/>
      <c r="L422" s="4"/>
      <c r="M422" s="4"/>
      <c r="N422" s="4"/>
    </row>
    <row r="423" spans="1:14">
      <c r="A423" s="4"/>
      <c r="B423" s="4"/>
      <c r="C423" s="390"/>
      <c r="D423" s="390"/>
      <c r="E423" s="391"/>
      <c r="F423" s="4"/>
      <c r="G423" s="4"/>
      <c r="H423" s="4"/>
      <c r="I423" s="4"/>
      <c r="J423" s="4"/>
      <c r="K423" s="4"/>
      <c r="L423" s="4"/>
      <c r="M423" s="4"/>
      <c r="N423" s="4"/>
    </row>
    <row r="424" spans="1:14">
      <c r="A424" s="4"/>
      <c r="B424" s="4"/>
      <c r="C424" s="390"/>
      <c r="D424" s="390"/>
      <c r="E424" s="391"/>
      <c r="F424" s="4"/>
      <c r="G424" s="4"/>
      <c r="H424" s="4"/>
      <c r="I424" s="4"/>
      <c r="J424" s="4"/>
      <c r="K424" s="4"/>
      <c r="L424" s="4"/>
      <c r="M424" s="4"/>
      <c r="N424" s="4"/>
    </row>
    <row r="425" spans="1:14">
      <c r="A425" s="4"/>
      <c r="B425" s="4"/>
      <c r="C425" s="390"/>
      <c r="D425" s="390"/>
      <c r="E425" s="391"/>
      <c r="F425" s="4"/>
      <c r="G425" s="4"/>
      <c r="H425" s="4"/>
      <c r="I425" s="4"/>
      <c r="J425" s="4"/>
      <c r="K425" s="4"/>
      <c r="L425" s="4"/>
      <c r="M425" s="4"/>
      <c r="N425" s="4"/>
    </row>
    <row r="426" spans="1:14">
      <c r="A426" s="4"/>
      <c r="B426" s="4"/>
      <c r="C426" s="390"/>
      <c r="D426" s="390"/>
      <c r="E426" s="391"/>
      <c r="F426" s="4"/>
      <c r="G426" s="4"/>
      <c r="H426" s="4"/>
      <c r="I426" s="4"/>
      <c r="J426" s="4"/>
      <c r="K426" s="4"/>
      <c r="L426" s="4"/>
      <c r="M426" s="4"/>
      <c r="N426" s="4"/>
    </row>
    <row r="427" spans="1:14">
      <c r="A427" s="4"/>
      <c r="B427" s="4"/>
      <c r="C427" s="390"/>
      <c r="D427" s="390"/>
      <c r="E427" s="391"/>
      <c r="F427" s="4"/>
      <c r="G427" s="4"/>
      <c r="H427" s="4"/>
      <c r="I427" s="4"/>
      <c r="J427" s="4"/>
      <c r="K427" s="4"/>
      <c r="L427" s="4"/>
      <c r="M427" s="4"/>
      <c r="N427" s="4"/>
    </row>
    <row r="428" spans="1:14">
      <c r="A428" s="4"/>
      <c r="B428" s="4"/>
      <c r="C428" s="390"/>
      <c r="D428" s="390"/>
      <c r="E428" s="391"/>
      <c r="F428" s="4"/>
      <c r="G428" s="4"/>
      <c r="H428" s="4"/>
      <c r="I428" s="4"/>
      <c r="J428" s="4"/>
      <c r="K428" s="4"/>
      <c r="L428" s="4"/>
      <c r="M428" s="4"/>
      <c r="N428" s="4"/>
    </row>
    <row r="429" spans="1:14">
      <c r="A429" s="4"/>
      <c r="B429" s="4"/>
      <c r="C429" s="390"/>
      <c r="D429" s="390"/>
      <c r="E429" s="391"/>
      <c r="F429" s="4"/>
      <c r="G429" s="4"/>
      <c r="H429" s="4"/>
      <c r="I429" s="4"/>
      <c r="J429" s="4"/>
      <c r="K429" s="4"/>
      <c r="L429" s="4"/>
      <c r="M429" s="4"/>
      <c r="N429" s="4"/>
    </row>
    <row r="430" spans="1:14">
      <c r="A430" s="4"/>
      <c r="B430" s="4"/>
      <c r="C430" s="390"/>
      <c r="D430" s="390"/>
      <c r="E430" s="391"/>
      <c r="F430" s="4"/>
      <c r="G430" s="4"/>
      <c r="H430" s="4"/>
      <c r="I430" s="4"/>
      <c r="J430" s="4"/>
      <c r="K430" s="4"/>
      <c r="L430" s="4"/>
      <c r="M430" s="4"/>
      <c r="N430" s="4"/>
    </row>
    <row r="431" spans="1:14">
      <c r="A431" s="4"/>
      <c r="B431" s="4"/>
      <c r="C431" s="390"/>
      <c r="D431" s="390"/>
      <c r="E431" s="391"/>
      <c r="F431" s="4"/>
      <c r="G431" s="4"/>
      <c r="H431" s="4"/>
      <c r="I431" s="4"/>
      <c r="J431" s="4"/>
      <c r="K431" s="4"/>
      <c r="L431" s="4"/>
      <c r="M431" s="4"/>
      <c r="N431" s="4"/>
    </row>
    <row r="432" spans="1:14">
      <c r="A432" s="4"/>
      <c r="B432" s="4"/>
      <c r="C432" s="390"/>
      <c r="D432" s="390"/>
      <c r="E432" s="391"/>
      <c r="F432" s="4"/>
      <c r="G432" s="4"/>
      <c r="H432" s="4"/>
      <c r="I432" s="4"/>
      <c r="J432" s="4"/>
      <c r="K432" s="4"/>
      <c r="L432" s="4"/>
      <c r="M432" s="4"/>
      <c r="N432" s="4"/>
    </row>
    <row r="433" spans="1:14">
      <c r="A433" s="4"/>
      <c r="B433" s="4"/>
      <c r="C433" s="390"/>
      <c r="D433" s="390"/>
      <c r="E433" s="391"/>
      <c r="F433" s="4"/>
      <c r="G433" s="4"/>
      <c r="H433" s="4"/>
      <c r="I433" s="4"/>
      <c r="J433" s="4"/>
      <c r="K433" s="4"/>
      <c r="L433" s="4"/>
      <c r="M433" s="4"/>
      <c r="N433" s="4"/>
    </row>
    <row r="434" spans="1:14">
      <c r="A434" s="4"/>
      <c r="B434" s="4"/>
      <c r="C434" s="390"/>
      <c r="D434" s="390"/>
      <c r="E434" s="391"/>
      <c r="F434" s="4"/>
      <c r="G434" s="4"/>
      <c r="H434" s="4"/>
      <c r="I434" s="4"/>
      <c r="J434" s="4"/>
      <c r="K434" s="4"/>
      <c r="L434" s="4"/>
      <c r="M434" s="4"/>
      <c r="N434" s="4"/>
    </row>
    <row r="435" spans="1:14">
      <c r="A435" s="4"/>
      <c r="B435" s="4"/>
      <c r="C435" s="390"/>
      <c r="D435" s="390"/>
      <c r="E435" s="391"/>
      <c r="F435" s="4"/>
      <c r="G435" s="4"/>
      <c r="H435" s="4"/>
      <c r="I435" s="4"/>
      <c r="J435" s="4"/>
      <c r="K435" s="4"/>
      <c r="L435" s="4"/>
      <c r="M435" s="4"/>
      <c r="N435" s="4"/>
    </row>
    <row r="436" spans="1:14">
      <c r="A436" s="4"/>
      <c r="B436" s="4"/>
      <c r="C436" s="390"/>
      <c r="D436" s="390"/>
      <c r="E436" s="391"/>
      <c r="F436" s="4"/>
      <c r="G436" s="4"/>
      <c r="H436" s="4"/>
      <c r="I436" s="4"/>
      <c r="J436" s="4"/>
      <c r="K436" s="4"/>
      <c r="L436" s="4"/>
      <c r="M436" s="4"/>
      <c r="N436" s="4"/>
    </row>
    <row r="437" spans="1:14">
      <c r="A437" s="4"/>
      <c r="B437" s="4"/>
      <c r="C437" s="390"/>
      <c r="D437" s="390"/>
      <c r="E437" s="391"/>
      <c r="F437" s="4"/>
      <c r="G437" s="4"/>
      <c r="H437" s="4"/>
      <c r="I437" s="4"/>
      <c r="J437" s="4"/>
      <c r="K437" s="4"/>
      <c r="L437" s="4"/>
      <c r="M437" s="4"/>
      <c r="N437" s="4"/>
    </row>
    <row r="438" spans="1:14">
      <c r="A438" s="4"/>
      <c r="B438" s="4"/>
      <c r="C438" s="390"/>
      <c r="D438" s="390"/>
      <c r="E438" s="391"/>
      <c r="F438" s="4"/>
      <c r="G438" s="4"/>
      <c r="H438" s="4"/>
      <c r="I438" s="4"/>
      <c r="J438" s="4"/>
      <c r="K438" s="4"/>
      <c r="L438" s="4"/>
      <c r="M438" s="4"/>
      <c r="N438" s="4"/>
    </row>
    <row r="439" spans="1:14">
      <c r="A439" s="4"/>
      <c r="B439" s="4"/>
      <c r="C439" s="390"/>
      <c r="D439" s="390"/>
      <c r="E439" s="391"/>
      <c r="F439" s="4"/>
      <c r="G439" s="4"/>
      <c r="H439" s="4"/>
      <c r="I439" s="4"/>
      <c r="J439" s="4"/>
      <c r="K439" s="4"/>
      <c r="L439" s="4"/>
      <c r="M439" s="4"/>
      <c r="N439" s="4"/>
    </row>
    <row r="440" spans="1:14">
      <c r="A440" s="4"/>
      <c r="B440" s="4"/>
      <c r="C440" s="390"/>
      <c r="D440" s="390"/>
      <c r="E440" s="391"/>
      <c r="F440" s="4"/>
      <c r="G440" s="4"/>
      <c r="H440" s="4"/>
      <c r="I440" s="4"/>
      <c r="J440" s="4"/>
      <c r="K440" s="4"/>
      <c r="L440" s="4"/>
      <c r="M440" s="4"/>
      <c r="N440" s="4"/>
    </row>
    <row r="441" spans="1:14">
      <c r="A441" s="4"/>
      <c r="B441" s="4"/>
      <c r="C441" s="390"/>
      <c r="D441" s="390"/>
      <c r="E441" s="391"/>
      <c r="F441" s="4"/>
      <c r="G441" s="4"/>
      <c r="H441" s="4"/>
      <c r="I441" s="4"/>
      <c r="J441" s="4"/>
      <c r="K441" s="4"/>
      <c r="L441" s="4"/>
      <c r="M441" s="4"/>
      <c r="N441" s="4"/>
    </row>
    <row r="442" spans="1:14">
      <c r="A442" s="4"/>
      <c r="B442" s="4"/>
      <c r="C442" s="390"/>
      <c r="D442" s="390"/>
      <c r="E442" s="391"/>
      <c r="F442" s="4"/>
      <c r="G442" s="4"/>
      <c r="H442" s="4"/>
      <c r="I442" s="4"/>
      <c r="J442" s="4"/>
      <c r="K442" s="4"/>
      <c r="L442" s="4"/>
      <c r="M442" s="4"/>
      <c r="N442" s="4"/>
    </row>
    <row r="443" spans="1:14">
      <c r="A443" s="4"/>
      <c r="B443" s="4"/>
      <c r="C443" s="390"/>
      <c r="D443" s="390"/>
      <c r="E443" s="391"/>
      <c r="F443" s="4"/>
      <c r="G443" s="4"/>
      <c r="H443" s="4"/>
      <c r="I443" s="4"/>
      <c r="J443" s="4"/>
      <c r="K443" s="4"/>
      <c r="L443" s="4"/>
      <c r="M443" s="4"/>
      <c r="N443" s="4"/>
    </row>
    <row r="444" spans="1:14">
      <c r="A444" s="4"/>
      <c r="B444" s="4"/>
      <c r="C444" s="390"/>
      <c r="D444" s="390"/>
      <c r="E444" s="391"/>
      <c r="F444" s="4"/>
      <c r="G444" s="4"/>
      <c r="H444" s="4"/>
      <c r="I444" s="4"/>
      <c r="J444" s="4"/>
      <c r="K444" s="4"/>
      <c r="L444" s="4"/>
      <c r="M444" s="4"/>
      <c r="N444" s="4"/>
    </row>
    <row r="445" spans="1:14">
      <c r="A445" s="4"/>
      <c r="B445" s="4"/>
      <c r="C445" s="390"/>
      <c r="D445" s="390"/>
      <c r="E445" s="391"/>
      <c r="F445" s="4"/>
      <c r="G445" s="4"/>
      <c r="H445" s="4"/>
      <c r="I445" s="4"/>
      <c r="J445" s="4"/>
      <c r="K445" s="4"/>
      <c r="L445" s="4"/>
      <c r="M445" s="4"/>
      <c r="N445" s="4"/>
    </row>
    <row r="446" spans="1:14">
      <c r="A446" s="4"/>
      <c r="B446" s="4"/>
      <c r="C446" s="390"/>
      <c r="D446" s="390"/>
      <c r="E446" s="391"/>
      <c r="F446" s="4"/>
      <c r="G446" s="4"/>
      <c r="H446" s="4"/>
      <c r="I446" s="4"/>
      <c r="J446" s="4"/>
      <c r="K446" s="4"/>
      <c r="L446" s="4"/>
      <c r="M446" s="4"/>
      <c r="N446" s="4"/>
    </row>
    <row r="447" spans="1:14">
      <c r="A447" s="4"/>
      <c r="B447" s="4"/>
      <c r="C447" s="390"/>
      <c r="D447" s="390"/>
      <c r="E447" s="391"/>
      <c r="F447" s="4"/>
      <c r="G447" s="4"/>
      <c r="H447" s="4"/>
      <c r="I447" s="4"/>
      <c r="J447" s="4"/>
      <c r="K447" s="4"/>
      <c r="L447" s="4"/>
      <c r="M447" s="4"/>
      <c r="N447" s="4"/>
    </row>
    <row r="448" spans="1:14">
      <c r="A448" s="4"/>
      <c r="B448" s="4"/>
      <c r="C448" s="390"/>
      <c r="D448" s="390"/>
      <c r="E448" s="391"/>
      <c r="F448" s="4"/>
      <c r="G448" s="4"/>
      <c r="H448" s="4"/>
      <c r="I448" s="4"/>
      <c r="J448" s="4"/>
      <c r="K448" s="4"/>
      <c r="L448" s="4"/>
      <c r="M448" s="4"/>
      <c r="N448" s="4"/>
    </row>
    <row r="449" spans="1:14">
      <c r="A449" s="4"/>
      <c r="B449" s="4"/>
      <c r="C449" s="390"/>
      <c r="D449" s="390"/>
      <c r="E449" s="391"/>
      <c r="F449" s="4"/>
      <c r="G449" s="4"/>
      <c r="H449" s="4"/>
      <c r="I449" s="4"/>
      <c r="J449" s="4"/>
      <c r="K449" s="4"/>
      <c r="L449" s="4"/>
      <c r="M449" s="4"/>
      <c r="N449" s="4"/>
    </row>
    <row r="450" spans="1:14">
      <c r="A450" s="4"/>
      <c r="B450" s="4"/>
      <c r="C450" s="390"/>
      <c r="D450" s="390"/>
      <c r="E450" s="391"/>
      <c r="F450" s="4"/>
      <c r="G450" s="4"/>
      <c r="H450" s="4"/>
      <c r="I450" s="4"/>
      <c r="J450" s="4"/>
      <c r="K450" s="4"/>
      <c r="L450" s="4"/>
      <c r="M450" s="4"/>
      <c r="N450" s="4"/>
    </row>
    <row r="451" spans="1:14">
      <c r="A451" s="4"/>
      <c r="B451" s="4"/>
      <c r="C451" s="390"/>
      <c r="D451" s="390"/>
      <c r="E451" s="391"/>
      <c r="F451" s="4"/>
      <c r="G451" s="4"/>
      <c r="H451" s="4"/>
      <c r="I451" s="4"/>
      <c r="J451" s="4"/>
      <c r="K451" s="4"/>
      <c r="L451" s="4"/>
      <c r="M451" s="4"/>
      <c r="N451" s="4"/>
    </row>
    <row r="452" spans="1:14">
      <c r="A452" s="4"/>
      <c r="B452" s="4"/>
      <c r="C452" s="390"/>
      <c r="D452" s="390"/>
      <c r="E452" s="391"/>
      <c r="F452" s="4"/>
      <c r="G452" s="4"/>
      <c r="H452" s="4"/>
      <c r="I452" s="4"/>
      <c r="J452" s="4"/>
      <c r="K452" s="4"/>
      <c r="L452" s="4"/>
      <c r="M452" s="4"/>
      <c r="N452" s="4"/>
    </row>
    <row r="453" spans="1:14">
      <c r="A453" s="4"/>
      <c r="B453" s="4"/>
      <c r="C453" s="390"/>
      <c r="D453" s="390"/>
      <c r="E453" s="391"/>
      <c r="F453" s="4"/>
      <c r="G453" s="4"/>
      <c r="H453" s="4"/>
      <c r="I453" s="4"/>
      <c r="J453" s="4"/>
      <c r="K453" s="4"/>
      <c r="L453" s="4"/>
      <c r="M453" s="4"/>
      <c r="N453" s="4"/>
    </row>
    <row r="454" spans="1:14">
      <c r="A454" s="4"/>
      <c r="B454" s="4"/>
      <c r="C454" s="390"/>
      <c r="D454" s="390"/>
      <c r="E454" s="391"/>
      <c r="F454" s="4"/>
      <c r="G454" s="4"/>
      <c r="H454" s="4"/>
      <c r="I454" s="4"/>
      <c r="J454" s="4"/>
      <c r="K454" s="4"/>
      <c r="L454" s="4"/>
      <c r="M454" s="4"/>
      <c r="N454" s="4"/>
    </row>
    <row r="455" spans="1:14">
      <c r="A455" s="4"/>
      <c r="B455" s="4"/>
      <c r="C455" s="390"/>
      <c r="D455" s="390"/>
      <c r="E455" s="391"/>
      <c r="F455" s="4"/>
      <c r="G455" s="4"/>
      <c r="H455" s="4"/>
      <c r="I455" s="4"/>
      <c r="J455" s="4"/>
      <c r="K455" s="4"/>
      <c r="L455" s="4"/>
      <c r="M455" s="4"/>
      <c r="N455" s="4"/>
    </row>
    <row r="456" spans="1:14">
      <c r="A456" s="4"/>
      <c r="B456" s="4"/>
      <c r="C456" s="390"/>
      <c r="D456" s="390"/>
      <c r="E456" s="391"/>
      <c r="F456" s="4"/>
      <c r="G456" s="4"/>
      <c r="H456" s="4"/>
      <c r="I456" s="4"/>
      <c r="J456" s="4"/>
      <c r="K456" s="4"/>
      <c r="L456" s="4"/>
      <c r="M456" s="4"/>
      <c r="N456" s="4"/>
    </row>
    <row r="457" spans="1:14">
      <c r="A457" s="4"/>
      <c r="B457" s="4"/>
      <c r="C457" s="390"/>
      <c r="D457" s="390"/>
      <c r="E457" s="391"/>
      <c r="F457" s="4"/>
      <c r="G457" s="4"/>
      <c r="H457" s="4"/>
      <c r="I457" s="4"/>
      <c r="J457" s="4"/>
      <c r="K457" s="4"/>
      <c r="L457" s="4"/>
      <c r="M457" s="4"/>
      <c r="N457" s="4"/>
    </row>
    <row r="458" spans="1:14">
      <c r="A458" s="4"/>
      <c r="B458" s="4"/>
      <c r="C458" s="390"/>
      <c r="D458" s="390"/>
      <c r="E458" s="391"/>
      <c r="F458" s="4"/>
      <c r="G458" s="4"/>
      <c r="H458" s="4"/>
      <c r="I458" s="4"/>
      <c r="J458" s="4"/>
      <c r="K458" s="4"/>
      <c r="L458" s="4"/>
      <c r="M458" s="4"/>
      <c r="N458" s="4"/>
    </row>
    <row r="459" spans="1:14">
      <c r="A459" s="4"/>
      <c r="B459" s="4"/>
      <c r="C459" s="390"/>
      <c r="D459" s="390"/>
      <c r="E459" s="391"/>
      <c r="F459" s="4"/>
      <c r="G459" s="4"/>
      <c r="H459" s="4"/>
      <c r="I459" s="4"/>
      <c r="J459" s="4"/>
      <c r="K459" s="4"/>
      <c r="L459" s="4"/>
      <c r="M459" s="4"/>
      <c r="N459" s="4"/>
    </row>
    <row r="460" spans="1:14">
      <c r="A460" s="4"/>
      <c r="B460" s="4"/>
      <c r="C460" s="390"/>
      <c r="D460" s="390"/>
      <c r="E460" s="391"/>
      <c r="F460" s="4"/>
      <c r="G460" s="4"/>
      <c r="H460" s="4"/>
      <c r="I460" s="4"/>
      <c r="J460" s="4"/>
      <c r="K460" s="4"/>
      <c r="L460" s="4"/>
      <c r="M460" s="4"/>
      <c r="N460" s="4"/>
    </row>
    <row r="461" spans="1:14">
      <c r="A461" s="4"/>
      <c r="B461" s="4"/>
      <c r="C461" s="390"/>
      <c r="D461" s="390"/>
      <c r="E461" s="391"/>
      <c r="F461" s="4"/>
      <c r="G461" s="4"/>
      <c r="H461" s="4"/>
      <c r="I461" s="4"/>
      <c r="J461" s="4"/>
      <c r="K461" s="4"/>
      <c r="L461" s="4"/>
      <c r="M461" s="4"/>
      <c r="N461" s="4"/>
    </row>
    <row r="462" spans="1:14">
      <c r="A462" s="4"/>
      <c r="B462" s="4"/>
      <c r="C462" s="390"/>
      <c r="D462" s="390"/>
      <c r="E462" s="391"/>
      <c r="F462" s="4"/>
      <c r="G462" s="4"/>
      <c r="H462" s="4"/>
      <c r="I462" s="4"/>
      <c r="J462" s="4"/>
      <c r="K462" s="4"/>
      <c r="L462" s="4"/>
      <c r="M462" s="4"/>
      <c r="N462" s="4"/>
    </row>
    <row r="463" spans="1:14">
      <c r="A463" s="4"/>
      <c r="B463" s="4"/>
      <c r="C463" s="390"/>
      <c r="D463" s="390"/>
      <c r="E463" s="391"/>
      <c r="F463" s="4"/>
      <c r="G463" s="4"/>
      <c r="H463" s="4"/>
      <c r="I463" s="4"/>
      <c r="J463" s="4"/>
      <c r="K463" s="4"/>
      <c r="L463" s="4"/>
      <c r="M463" s="4"/>
      <c r="N463" s="4"/>
    </row>
    <row r="464" spans="1:14">
      <c r="A464" s="4"/>
      <c r="B464" s="4"/>
      <c r="C464" s="390"/>
      <c r="D464" s="390"/>
      <c r="E464" s="391"/>
      <c r="F464" s="4"/>
      <c r="G464" s="4"/>
      <c r="H464" s="4"/>
      <c r="I464" s="4"/>
      <c r="J464" s="4"/>
      <c r="K464" s="4"/>
      <c r="L464" s="4"/>
      <c r="M464" s="4"/>
      <c r="N464" s="4"/>
    </row>
    <row r="465" spans="1:14">
      <c r="A465" s="4"/>
      <c r="B465" s="4"/>
      <c r="C465" s="390"/>
      <c r="D465" s="390"/>
      <c r="E465" s="391"/>
      <c r="F465" s="4"/>
      <c r="G465" s="4"/>
      <c r="H465" s="4"/>
      <c r="I465" s="4"/>
      <c r="J465" s="4"/>
      <c r="K465" s="4"/>
      <c r="L465" s="4"/>
      <c r="M465" s="4"/>
      <c r="N465" s="4"/>
    </row>
    <row r="466" spans="1:14">
      <c r="A466" s="4"/>
      <c r="B466" s="4"/>
      <c r="C466" s="390"/>
      <c r="D466" s="390"/>
      <c r="E466" s="391"/>
      <c r="F466" s="4"/>
      <c r="G466" s="4"/>
      <c r="H466" s="4"/>
      <c r="I466" s="4"/>
      <c r="J466" s="4"/>
      <c r="K466" s="4"/>
      <c r="L466" s="4"/>
      <c r="M466" s="4"/>
      <c r="N466" s="4"/>
    </row>
    <row r="467" spans="1:14">
      <c r="A467" s="4"/>
      <c r="B467" s="4"/>
      <c r="C467" s="390"/>
      <c r="D467" s="390"/>
      <c r="E467" s="391"/>
      <c r="F467" s="4"/>
      <c r="G467" s="4"/>
      <c r="H467" s="4"/>
      <c r="I467" s="4"/>
      <c r="J467" s="4"/>
      <c r="K467" s="4"/>
      <c r="L467" s="4"/>
      <c r="M467" s="4"/>
      <c r="N467" s="4"/>
    </row>
    <row r="468" spans="1:14">
      <c r="A468" s="4"/>
      <c r="B468" s="4"/>
      <c r="C468" s="390"/>
      <c r="D468" s="390"/>
      <c r="E468" s="391"/>
      <c r="F468" s="4"/>
      <c r="G468" s="4"/>
      <c r="H468" s="4"/>
      <c r="I468" s="4"/>
      <c r="J468" s="4"/>
      <c r="K468" s="4"/>
      <c r="L468" s="4"/>
      <c r="M468" s="4"/>
      <c r="N468" s="4"/>
    </row>
    <row r="469" spans="1:14">
      <c r="A469" s="4"/>
      <c r="B469" s="4"/>
      <c r="C469" s="390"/>
      <c r="D469" s="390"/>
      <c r="E469" s="391"/>
      <c r="F469" s="4"/>
      <c r="G469" s="4"/>
      <c r="H469" s="4"/>
      <c r="I469" s="4"/>
      <c r="J469" s="4"/>
      <c r="K469" s="4"/>
      <c r="L469" s="4"/>
      <c r="M469" s="4"/>
      <c r="N469" s="4"/>
    </row>
    <row r="470" spans="1:14">
      <c r="A470" s="4"/>
      <c r="B470" s="4"/>
      <c r="C470" s="390"/>
      <c r="D470" s="390"/>
      <c r="E470" s="391"/>
      <c r="F470" s="4"/>
      <c r="G470" s="4"/>
      <c r="H470" s="4"/>
      <c r="I470" s="4"/>
      <c r="J470" s="4"/>
      <c r="K470" s="4"/>
      <c r="L470" s="4"/>
      <c r="M470" s="4"/>
      <c r="N470" s="4"/>
    </row>
    <row r="471" spans="1:14">
      <c r="A471" s="4"/>
      <c r="B471" s="4"/>
      <c r="C471" s="390"/>
      <c r="D471" s="390"/>
      <c r="E471" s="391"/>
      <c r="F471" s="4"/>
      <c r="G471" s="4"/>
      <c r="H471" s="4"/>
      <c r="I471" s="4"/>
      <c r="J471" s="4"/>
      <c r="K471" s="4"/>
      <c r="L471" s="4"/>
      <c r="M471" s="4"/>
      <c r="N471" s="4"/>
    </row>
    <row r="472" spans="1:14">
      <c r="A472" s="4"/>
      <c r="B472" s="4"/>
      <c r="C472" s="390"/>
      <c r="D472" s="390"/>
      <c r="E472" s="391"/>
      <c r="F472" s="4"/>
      <c r="G472" s="4"/>
      <c r="H472" s="4"/>
      <c r="I472" s="4"/>
      <c r="J472" s="4"/>
      <c r="K472" s="4"/>
      <c r="L472" s="4"/>
      <c r="M472" s="4"/>
      <c r="N472" s="4"/>
    </row>
    <row r="473" spans="1:14">
      <c r="A473" s="4"/>
      <c r="B473" s="4"/>
      <c r="C473" s="390"/>
      <c r="D473" s="390"/>
      <c r="E473" s="391"/>
      <c r="F473" s="4"/>
      <c r="G473" s="4"/>
      <c r="H473" s="4"/>
      <c r="I473" s="4"/>
      <c r="J473" s="4"/>
      <c r="K473" s="4"/>
      <c r="L473" s="4"/>
      <c r="M473" s="4"/>
      <c r="N473" s="4"/>
    </row>
    <row r="474" spans="1:14">
      <c r="A474" s="4"/>
      <c r="B474" s="4"/>
      <c r="C474" s="390"/>
      <c r="D474" s="390"/>
      <c r="E474" s="391"/>
      <c r="F474" s="4"/>
      <c r="G474" s="4"/>
      <c r="H474" s="4"/>
      <c r="I474" s="4"/>
      <c r="J474" s="4"/>
      <c r="K474" s="4"/>
      <c r="L474" s="4"/>
      <c r="M474" s="4"/>
      <c r="N474" s="4"/>
    </row>
    <row r="475" spans="1:14">
      <c r="A475" s="4"/>
      <c r="B475" s="4"/>
      <c r="C475" s="390"/>
      <c r="D475" s="390"/>
      <c r="E475" s="391"/>
      <c r="F475" s="4"/>
      <c r="G475" s="4"/>
      <c r="H475" s="4"/>
      <c r="I475" s="4"/>
      <c r="J475" s="4"/>
      <c r="K475" s="4"/>
      <c r="L475" s="4"/>
      <c r="M475" s="4"/>
      <c r="N475" s="4"/>
    </row>
    <row r="476" spans="1:14">
      <c r="A476" s="4"/>
      <c r="B476" s="4"/>
      <c r="C476" s="390"/>
      <c r="D476" s="390"/>
      <c r="E476" s="391"/>
      <c r="F476" s="4"/>
      <c r="G476" s="4"/>
      <c r="H476" s="4"/>
      <c r="I476" s="4"/>
      <c r="J476" s="4"/>
      <c r="K476" s="4"/>
      <c r="L476" s="4"/>
      <c r="M476" s="4"/>
      <c r="N476" s="4"/>
    </row>
    <row r="477" spans="1:14">
      <c r="A477" s="4"/>
      <c r="B477" s="4"/>
      <c r="C477" s="390"/>
      <c r="D477" s="390"/>
      <c r="E477" s="391"/>
      <c r="F477" s="4"/>
      <c r="G477" s="4"/>
      <c r="H477" s="4"/>
      <c r="I477" s="4"/>
      <c r="J477" s="4"/>
      <c r="K477" s="4"/>
      <c r="L477" s="4"/>
      <c r="M477" s="4"/>
      <c r="N477" s="4"/>
    </row>
    <row r="478" spans="1:14">
      <c r="A478" s="4"/>
      <c r="B478" s="4"/>
      <c r="C478" s="390"/>
      <c r="D478" s="390"/>
      <c r="E478" s="391"/>
      <c r="F478" s="4"/>
      <c r="G478" s="4"/>
      <c r="H478" s="4"/>
      <c r="I478" s="4"/>
      <c r="J478" s="4"/>
      <c r="K478" s="4"/>
      <c r="L478" s="4"/>
      <c r="M478" s="4"/>
      <c r="N478" s="4"/>
    </row>
    <row r="479" spans="1:14">
      <c r="A479" s="4"/>
      <c r="B479" s="4"/>
      <c r="C479" s="390"/>
      <c r="D479" s="390"/>
      <c r="E479" s="391"/>
      <c r="F479" s="4"/>
      <c r="G479" s="4"/>
      <c r="H479" s="4"/>
      <c r="I479" s="4"/>
      <c r="J479" s="4"/>
      <c r="K479" s="4"/>
      <c r="L479" s="4"/>
      <c r="M479" s="4"/>
      <c r="N479" s="4"/>
    </row>
    <row r="480" spans="1:14">
      <c r="A480" s="4"/>
      <c r="B480" s="4"/>
      <c r="C480" s="390"/>
      <c r="D480" s="390"/>
      <c r="E480" s="391"/>
      <c r="F480" s="4"/>
      <c r="G480" s="4"/>
      <c r="H480" s="4"/>
      <c r="I480" s="4"/>
      <c r="J480" s="4"/>
      <c r="K480" s="4"/>
      <c r="L480" s="4"/>
      <c r="M480" s="4"/>
      <c r="N480" s="4"/>
    </row>
    <row r="481" spans="1:14">
      <c r="A481" s="4"/>
      <c r="B481" s="4"/>
      <c r="C481" s="390"/>
      <c r="D481" s="390"/>
      <c r="E481" s="391"/>
      <c r="F481" s="4"/>
      <c r="G481" s="4"/>
      <c r="H481" s="4"/>
      <c r="I481" s="4"/>
      <c r="J481" s="4"/>
      <c r="K481" s="4"/>
      <c r="L481" s="4"/>
      <c r="M481" s="4"/>
      <c r="N481" s="4"/>
    </row>
    <row r="482" spans="1:14">
      <c r="A482" s="4"/>
      <c r="B482" s="4"/>
      <c r="C482" s="390"/>
      <c r="D482" s="390"/>
      <c r="E482" s="391"/>
      <c r="F482" s="4"/>
      <c r="G482" s="4"/>
      <c r="H482" s="4"/>
      <c r="I482" s="4"/>
      <c r="J482" s="4"/>
      <c r="K482" s="4"/>
      <c r="L482" s="4"/>
      <c r="M482" s="4"/>
      <c r="N482" s="4"/>
    </row>
    <row r="483" spans="1:14">
      <c r="A483" s="4"/>
      <c r="B483" s="4"/>
      <c r="C483" s="390"/>
      <c r="D483" s="390"/>
      <c r="E483" s="391"/>
      <c r="F483" s="4"/>
      <c r="G483" s="4"/>
      <c r="H483" s="4"/>
      <c r="I483" s="4"/>
      <c r="J483" s="4"/>
      <c r="K483" s="4"/>
      <c r="L483" s="4"/>
      <c r="M483" s="4"/>
      <c r="N483" s="4"/>
    </row>
    <row r="484" spans="1:14">
      <c r="A484" s="4"/>
      <c r="B484" s="4"/>
      <c r="C484" s="390"/>
      <c r="D484" s="390"/>
      <c r="E484" s="391"/>
      <c r="F484" s="4"/>
      <c r="G484" s="4"/>
      <c r="H484" s="4"/>
      <c r="I484" s="4"/>
      <c r="J484" s="4"/>
      <c r="K484" s="4"/>
      <c r="L484" s="4"/>
      <c r="M484" s="4"/>
      <c r="N484" s="4"/>
    </row>
    <row r="485" spans="1:14">
      <c r="A485" s="4"/>
      <c r="B485" s="4"/>
      <c r="C485" s="390"/>
      <c r="D485" s="390"/>
      <c r="E485" s="391"/>
      <c r="F485" s="4"/>
      <c r="G485" s="4"/>
      <c r="H485" s="4"/>
      <c r="I485" s="4"/>
      <c r="J485" s="4"/>
      <c r="K485" s="4"/>
      <c r="L485" s="4"/>
      <c r="M485" s="4"/>
      <c r="N485" s="4"/>
    </row>
    <row r="486" spans="1:14">
      <c r="A486" s="4"/>
      <c r="B486" s="4"/>
      <c r="C486" s="390"/>
      <c r="D486" s="390"/>
      <c r="E486" s="391"/>
      <c r="F486" s="4"/>
      <c r="G486" s="4"/>
      <c r="H486" s="4"/>
      <c r="I486" s="4"/>
      <c r="J486" s="4"/>
      <c r="K486" s="4"/>
      <c r="L486" s="4"/>
      <c r="M486" s="4"/>
      <c r="N486" s="4"/>
    </row>
    <row r="487" spans="1:14">
      <c r="A487" s="4"/>
      <c r="B487" s="4"/>
      <c r="C487" s="390"/>
      <c r="D487" s="390"/>
      <c r="E487" s="391"/>
      <c r="F487" s="4"/>
      <c r="G487" s="4"/>
      <c r="H487" s="4"/>
      <c r="I487" s="4"/>
      <c r="J487" s="4"/>
      <c r="K487" s="4"/>
      <c r="L487" s="4"/>
      <c r="M487" s="4"/>
      <c r="N487" s="4"/>
    </row>
    <row r="488" spans="1:14">
      <c r="A488" s="4"/>
      <c r="B488" s="4"/>
      <c r="C488" s="390"/>
      <c r="D488" s="390"/>
      <c r="E488" s="391"/>
      <c r="F488" s="4"/>
      <c r="G488" s="4"/>
      <c r="H488" s="4"/>
      <c r="I488" s="4"/>
      <c r="J488" s="4"/>
      <c r="K488" s="4"/>
      <c r="L488" s="4"/>
      <c r="M488" s="4"/>
      <c r="N488" s="4"/>
    </row>
    <row r="489" spans="1:14">
      <c r="A489" s="4"/>
      <c r="B489" s="4"/>
      <c r="C489" s="390"/>
      <c r="D489" s="390"/>
      <c r="E489" s="391"/>
      <c r="F489" s="4"/>
      <c r="G489" s="4"/>
      <c r="H489" s="4"/>
      <c r="I489" s="4"/>
      <c r="J489" s="4"/>
      <c r="K489" s="4"/>
      <c r="L489" s="4"/>
      <c r="M489" s="4"/>
      <c r="N489" s="4"/>
    </row>
    <row r="490" spans="1:14">
      <c r="A490" s="4"/>
      <c r="B490" s="4"/>
      <c r="C490" s="390"/>
      <c r="D490" s="390"/>
      <c r="E490" s="391"/>
      <c r="F490" s="4"/>
      <c r="G490" s="4"/>
      <c r="H490" s="4"/>
      <c r="I490" s="4"/>
      <c r="J490" s="4"/>
      <c r="K490" s="4"/>
      <c r="L490" s="4"/>
      <c r="M490" s="4"/>
      <c r="N490" s="4"/>
    </row>
    <row r="491" spans="1:14">
      <c r="A491" s="4"/>
      <c r="B491" s="4"/>
      <c r="C491" s="390"/>
      <c r="D491" s="390"/>
      <c r="E491" s="391"/>
      <c r="F491" s="4"/>
      <c r="G491" s="4"/>
      <c r="H491" s="4"/>
      <c r="I491" s="4"/>
      <c r="J491" s="4"/>
      <c r="K491" s="4"/>
      <c r="L491" s="4"/>
      <c r="M491" s="4"/>
      <c r="N491" s="4"/>
    </row>
    <row r="492" spans="1:14">
      <c r="A492" s="4"/>
      <c r="B492" s="4"/>
      <c r="C492" s="390"/>
      <c r="D492" s="390"/>
      <c r="E492" s="391"/>
      <c r="F492" s="4"/>
      <c r="G492" s="4"/>
      <c r="H492" s="4"/>
      <c r="I492" s="4"/>
      <c r="J492" s="4"/>
      <c r="K492" s="4"/>
      <c r="L492" s="4"/>
      <c r="M492" s="4"/>
      <c r="N492" s="4"/>
    </row>
    <row r="493" spans="1:14">
      <c r="A493" s="4"/>
      <c r="B493" s="4"/>
      <c r="C493" s="390"/>
      <c r="D493" s="390"/>
      <c r="E493" s="391"/>
      <c r="F493" s="4"/>
      <c r="G493" s="4"/>
      <c r="H493" s="4"/>
      <c r="I493" s="4"/>
      <c r="J493" s="4"/>
      <c r="K493" s="4"/>
      <c r="L493" s="4"/>
      <c r="M493" s="4"/>
      <c r="N493" s="4"/>
    </row>
    <row r="494" spans="1:14">
      <c r="A494" s="4"/>
      <c r="B494" s="4"/>
      <c r="C494" s="390"/>
      <c r="D494" s="390"/>
      <c r="E494" s="391"/>
      <c r="F494" s="4"/>
      <c r="G494" s="4"/>
      <c r="H494" s="4"/>
      <c r="I494" s="4"/>
      <c r="J494" s="4"/>
      <c r="K494" s="4"/>
      <c r="L494" s="4"/>
      <c r="M494" s="4"/>
      <c r="N494" s="4"/>
    </row>
    <row r="495" spans="1:14">
      <c r="A495" s="4"/>
      <c r="B495" s="4"/>
      <c r="C495" s="390"/>
      <c r="D495" s="390"/>
      <c r="E495" s="391"/>
      <c r="F495" s="4"/>
      <c r="G495" s="4"/>
      <c r="H495" s="4"/>
      <c r="I495" s="4"/>
      <c r="J495" s="4"/>
      <c r="K495" s="4"/>
      <c r="L495" s="4"/>
      <c r="M495" s="4"/>
      <c r="N495" s="4"/>
    </row>
    <row r="496" spans="1:14">
      <c r="A496" s="4"/>
      <c r="B496" s="4"/>
      <c r="C496" s="390"/>
      <c r="D496" s="390"/>
      <c r="E496" s="391"/>
      <c r="F496" s="4"/>
      <c r="G496" s="4"/>
      <c r="H496" s="4"/>
      <c r="I496" s="4"/>
      <c r="J496" s="4"/>
      <c r="K496" s="4"/>
      <c r="L496" s="4"/>
      <c r="M496" s="4"/>
      <c r="N496" s="4"/>
    </row>
    <row r="497" spans="1:14">
      <c r="A497" s="4"/>
      <c r="B497" s="4"/>
      <c r="C497" s="390"/>
      <c r="D497" s="390"/>
      <c r="E497" s="391"/>
      <c r="F497" s="4"/>
      <c r="G497" s="4"/>
      <c r="H497" s="4"/>
      <c r="I497" s="4"/>
      <c r="J497" s="4"/>
      <c r="K497" s="4"/>
      <c r="L497" s="4"/>
      <c r="M497" s="4"/>
      <c r="N497" s="4"/>
    </row>
    <row r="498" spans="1:14">
      <c r="A498" s="4"/>
      <c r="B498" s="4"/>
      <c r="C498" s="390"/>
      <c r="D498" s="390"/>
      <c r="E498" s="391"/>
      <c r="F498" s="4"/>
      <c r="G498" s="4"/>
      <c r="H498" s="4"/>
      <c r="I498" s="4"/>
      <c r="J498" s="4"/>
      <c r="K498" s="4"/>
      <c r="L498" s="4"/>
      <c r="M498" s="4"/>
      <c r="N498" s="4"/>
    </row>
    <row r="499" spans="1:14">
      <c r="A499" s="4"/>
      <c r="B499" s="4"/>
      <c r="C499" s="390"/>
      <c r="D499" s="390"/>
      <c r="E499" s="391"/>
      <c r="F499" s="4"/>
      <c r="G499" s="4"/>
      <c r="H499" s="4"/>
      <c r="I499" s="4"/>
      <c r="J499" s="4"/>
      <c r="K499" s="4"/>
      <c r="L499" s="4"/>
      <c r="M499" s="4"/>
      <c r="N499" s="4"/>
    </row>
    <row r="500" spans="1:14">
      <c r="A500" s="4"/>
      <c r="B500" s="4"/>
      <c r="C500" s="390"/>
      <c r="D500" s="390"/>
      <c r="E500" s="391"/>
      <c r="F500" s="4"/>
      <c r="G500" s="4"/>
      <c r="H500" s="4"/>
      <c r="I500" s="4"/>
      <c r="J500" s="4"/>
      <c r="K500" s="4"/>
      <c r="L500" s="4"/>
      <c r="M500" s="4"/>
      <c r="N500" s="4"/>
    </row>
    <row r="501" spans="1:14">
      <c r="A501" s="4"/>
      <c r="B501" s="4"/>
      <c r="C501" s="390"/>
      <c r="D501" s="390"/>
      <c r="E501" s="391"/>
      <c r="F501" s="4"/>
      <c r="G501" s="4"/>
      <c r="H501" s="4"/>
      <c r="I501" s="4"/>
      <c r="J501" s="4"/>
      <c r="K501" s="4"/>
      <c r="L501" s="4"/>
      <c r="M501" s="4"/>
      <c r="N501" s="4"/>
    </row>
    <row r="502" spans="1:14">
      <c r="A502" s="4"/>
      <c r="B502" s="4"/>
      <c r="C502" s="390"/>
      <c r="D502" s="390"/>
      <c r="E502" s="391"/>
      <c r="F502" s="4"/>
      <c r="G502" s="4"/>
      <c r="H502" s="4"/>
      <c r="I502" s="4"/>
      <c r="J502" s="4"/>
      <c r="K502" s="4"/>
      <c r="L502" s="4"/>
      <c r="M502" s="4"/>
      <c r="N502" s="4"/>
    </row>
    <row r="503" spans="1:14">
      <c r="A503" s="4"/>
      <c r="B503" s="4"/>
      <c r="C503" s="390"/>
      <c r="D503" s="390"/>
      <c r="E503" s="391"/>
      <c r="F503" s="4"/>
      <c r="G503" s="4"/>
      <c r="H503" s="4"/>
      <c r="I503" s="4"/>
      <c r="J503" s="4"/>
      <c r="K503" s="4"/>
      <c r="L503" s="4"/>
      <c r="M503" s="4"/>
      <c r="N503" s="4"/>
    </row>
    <row r="504" spans="1:14">
      <c r="A504" s="4"/>
      <c r="B504" s="4"/>
      <c r="C504" s="390"/>
      <c r="D504" s="390"/>
      <c r="E504" s="391"/>
      <c r="F504" s="4"/>
      <c r="G504" s="4"/>
      <c r="H504" s="4"/>
      <c r="I504" s="4"/>
      <c r="J504" s="4"/>
      <c r="K504" s="4"/>
      <c r="L504" s="4"/>
      <c r="M504" s="4"/>
      <c r="N504" s="4"/>
    </row>
    <row r="505" spans="1:14">
      <c r="A505" s="4"/>
      <c r="B505" s="4"/>
      <c r="C505" s="390"/>
      <c r="D505" s="390"/>
      <c r="E505" s="391"/>
      <c r="F505" s="4"/>
      <c r="G505" s="4"/>
      <c r="H505" s="4"/>
      <c r="I505" s="4"/>
      <c r="J505" s="4"/>
      <c r="K505" s="4"/>
      <c r="L505" s="4"/>
      <c r="M505" s="4"/>
      <c r="N505" s="4"/>
    </row>
    <row r="506" spans="1:14">
      <c r="A506" s="4"/>
      <c r="B506" s="4"/>
      <c r="C506" s="390"/>
      <c r="D506" s="390"/>
      <c r="E506" s="391"/>
      <c r="F506" s="4"/>
      <c r="G506" s="4"/>
      <c r="H506" s="4"/>
      <c r="I506" s="4"/>
      <c r="J506" s="4"/>
      <c r="K506" s="4"/>
      <c r="L506" s="4"/>
      <c r="M506" s="4"/>
      <c r="N506" s="4"/>
    </row>
    <row r="507" spans="1:14">
      <c r="A507" s="4"/>
      <c r="B507" s="4"/>
      <c r="C507" s="390"/>
      <c r="D507" s="390"/>
      <c r="E507" s="391"/>
      <c r="F507" s="4"/>
      <c r="G507" s="4"/>
      <c r="H507" s="4"/>
      <c r="I507" s="4"/>
      <c r="J507" s="4"/>
      <c r="K507" s="4"/>
      <c r="L507" s="4"/>
      <c r="M507" s="4"/>
      <c r="N507" s="4"/>
    </row>
    <row r="508" spans="1:14">
      <c r="A508" s="4"/>
      <c r="B508" s="4"/>
      <c r="C508" s="390"/>
      <c r="D508" s="390"/>
      <c r="E508" s="391"/>
      <c r="F508" s="4"/>
      <c r="G508" s="4"/>
      <c r="H508" s="4"/>
      <c r="I508" s="4"/>
      <c r="J508" s="4"/>
      <c r="K508" s="4"/>
      <c r="L508" s="4"/>
      <c r="M508" s="4"/>
      <c r="N508" s="4"/>
    </row>
    <row r="509" spans="1:14">
      <c r="A509" s="4"/>
      <c r="B509" s="4"/>
      <c r="C509" s="390"/>
      <c r="D509" s="390"/>
      <c r="E509" s="391"/>
      <c r="F509" s="4"/>
      <c r="G509" s="4"/>
      <c r="H509" s="4"/>
      <c r="I509" s="4"/>
      <c r="J509" s="4"/>
      <c r="K509" s="4"/>
      <c r="L509" s="4"/>
      <c r="M509" s="4"/>
      <c r="N509" s="4"/>
    </row>
    <row r="510" spans="1:14">
      <c r="A510" s="4"/>
      <c r="B510" s="4"/>
      <c r="C510" s="390"/>
      <c r="D510" s="390"/>
      <c r="E510" s="391"/>
      <c r="F510" s="4"/>
      <c r="G510" s="4"/>
      <c r="H510" s="4"/>
      <c r="I510" s="4"/>
      <c r="J510" s="4"/>
      <c r="K510" s="4"/>
      <c r="L510" s="4"/>
      <c r="M510" s="4"/>
      <c r="N510" s="4"/>
    </row>
    <row r="511" spans="1:14">
      <c r="A511" s="4"/>
      <c r="B511" s="4"/>
      <c r="C511" s="390"/>
      <c r="D511" s="390"/>
      <c r="E511" s="391"/>
      <c r="F511" s="4"/>
      <c r="G511" s="4"/>
      <c r="H511" s="4"/>
      <c r="I511" s="4"/>
      <c r="J511" s="4"/>
      <c r="K511" s="4"/>
      <c r="L511" s="4"/>
      <c r="M511" s="4"/>
      <c r="N511" s="4"/>
    </row>
    <row r="512" spans="1:14">
      <c r="A512" s="4"/>
      <c r="B512" s="4"/>
      <c r="C512" s="390"/>
      <c r="D512" s="390"/>
      <c r="E512" s="391"/>
      <c r="F512" s="4"/>
      <c r="G512" s="4"/>
      <c r="H512" s="4"/>
      <c r="I512" s="4"/>
      <c r="J512" s="4"/>
      <c r="K512" s="4"/>
      <c r="L512" s="4"/>
      <c r="M512" s="4"/>
      <c r="N512" s="4"/>
    </row>
    <row r="513" spans="1:14">
      <c r="A513" s="4"/>
      <c r="B513" s="4"/>
      <c r="C513" s="390"/>
      <c r="D513" s="390"/>
      <c r="E513" s="391"/>
      <c r="F513" s="4"/>
      <c r="G513" s="4"/>
      <c r="H513" s="4"/>
      <c r="I513" s="4"/>
      <c r="J513" s="4"/>
      <c r="K513" s="4"/>
      <c r="L513" s="4"/>
      <c r="M513" s="4"/>
      <c r="N513" s="4"/>
    </row>
    <row r="514" spans="1:14">
      <c r="A514" s="4"/>
      <c r="B514" s="4"/>
      <c r="C514" s="390"/>
      <c r="D514" s="390"/>
      <c r="E514" s="391"/>
      <c r="F514" s="4"/>
      <c r="G514" s="4"/>
      <c r="H514" s="4"/>
      <c r="I514" s="4"/>
      <c r="J514" s="4"/>
      <c r="K514" s="4"/>
      <c r="L514" s="4"/>
      <c r="M514" s="4"/>
      <c r="N514" s="4"/>
    </row>
    <row r="515" spans="1:14">
      <c r="A515" s="4"/>
      <c r="B515" s="4"/>
      <c r="C515" s="390"/>
      <c r="D515" s="390"/>
      <c r="E515" s="391"/>
      <c r="F515" s="4"/>
      <c r="G515" s="4"/>
      <c r="H515" s="4"/>
      <c r="I515" s="4"/>
      <c r="J515" s="4"/>
      <c r="K515" s="4"/>
      <c r="L515" s="4"/>
      <c r="M515" s="4"/>
      <c r="N515" s="4"/>
    </row>
    <row r="516" spans="1:14">
      <c r="A516" s="4"/>
      <c r="B516" s="4"/>
      <c r="C516" s="390"/>
      <c r="D516" s="390"/>
      <c r="E516" s="391"/>
      <c r="F516" s="4"/>
      <c r="G516" s="4"/>
      <c r="H516" s="4"/>
      <c r="I516" s="4"/>
      <c r="J516" s="4"/>
      <c r="K516" s="4"/>
      <c r="L516" s="4"/>
      <c r="M516" s="4"/>
      <c r="N516" s="4"/>
    </row>
    <row r="517" spans="1:14">
      <c r="A517" s="4"/>
      <c r="B517" s="4"/>
      <c r="C517" s="390"/>
      <c r="D517" s="390"/>
      <c r="E517" s="391"/>
      <c r="F517" s="4"/>
      <c r="G517" s="4"/>
      <c r="H517" s="4"/>
      <c r="I517" s="4"/>
      <c r="J517" s="4"/>
      <c r="K517" s="4"/>
      <c r="L517" s="4"/>
      <c r="M517" s="4"/>
      <c r="N517" s="4"/>
    </row>
    <row r="518" spans="1:14">
      <c r="A518" s="4"/>
      <c r="B518" s="4"/>
      <c r="C518" s="390"/>
      <c r="D518" s="390"/>
      <c r="E518" s="391"/>
      <c r="F518" s="4"/>
      <c r="G518" s="4"/>
      <c r="H518" s="4"/>
      <c r="I518" s="4"/>
      <c r="J518" s="4"/>
      <c r="K518" s="4"/>
      <c r="L518" s="4"/>
      <c r="M518" s="4"/>
      <c r="N518" s="4"/>
    </row>
    <row r="519" spans="1:14">
      <c r="A519" s="4"/>
      <c r="B519" s="4"/>
      <c r="C519" s="390"/>
      <c r="D519" s="390"/>
      <c r="E519" s="391"/>
      <c r="F519" s="4"/>
      <c r="G519" s="4"/>
      <c r="H519" s="4"/>
      <c r="I519" s="4"/>
      <c r="J519" s="4"/>
      <c r="K519" s="4"/>
      <c r="L519" s="4"/>
      <c r="M519" s="4"/>
      <c r="N519" s="4"/>
    </row>
    <row r="520" spans="1:14">
      <c r="A520" s="4"/>
      <c r="B520" s="4"/>
      <c r="C520" s="390"/>
      <c r="D520" s="390"/>
      <c r="E520" s="391"/>
      <c r="F520" s="4"/>
      <c r="G520" s="4"/>
      <c r="H520" s="4"/>
      <c r="I520" s="4"/>
      <c r="J520" s="4"/>
      <c r="K520" s="4"/>
      <c r="L520" s="4"/>
      <c r="M520" s="4"/>
      <c r="N520" s="4"/>
    </row>
    <row r="521" spans="1:14">
      <c r="A521" s="4"/>
      <c r="B521" s="4"/>
      <c r="C521" s="390"/>
      <c r="D521" s="390"/>
      <c r="E521" s="391"/>
      <c r="F521" s="4"/>
      <c r="G521" s="4"/>
      <c r="H521" s="4"/>
      <c r="I521" s="4"/>
      <c r="J521" s="4"/>
      <c r="K521" s="4"/>
      <c r="L521" s="4"/>
      <c r="M521" s="4"/>
      <c r="N521" s="4"/>
    </row>
    <row r="522" spans="1:14">
      <c r="A522" s="4"/>
      <c r="B522" s="4"/>
      <c r="C522" s="390"/>
      <c r="D522" s="390"/>
      <c r="E522" s="391"/>
      <c r="F522" s="4"/>
      <c r="G522" s="4"/>
      <c r="H522" s="4"/>
      <c r="I522" s="4"/>
      <c r="J522" s="4"/>
      <c r="K522" s="4"/>
      <c r="L522" s="4"/>
      <c r="M522" s="4"/>
      <c r="N522" s="4"/>
    </row>
    <row r="523" spans="1:14">
      <c r="A523" s="4"/>
      <c r="B523" s="4"/>
      <c r="C523" s="390"/>
      <c r="D523" s="390"/>
      <c r="E523" s="391"/>
      <c r="F523" s="4"/>
      <c r="G523" s="4"/>
      <c r="H523" s="4"/>
      <c r="I523" s="4"/>
      <c r="J523" s="4"/>
      <c r="K523" s="4"/>
      <c r="L523" s="4"/>
      <c r="M523" s="4"/>
      <c r="N523" s="4"/>
    </row>
    <row r="524" spans="1:14">
      <c r="A524" s="4"/>
      <c r="B524" s="4"/>
      <c r="C524" s="390"/>
      <c r="D524" s="390"/>
      <c r="E524" s="391"/>
      <c r="F524" s="4"/>
      <c r="G524" s="4"/>
      <c r="H524" s="4"/>
      <c r="I524" s="4"/>
      <c r="J524" s="4"/>
      <c r="K524" s="4"/>
      <c r="L524" s="4"/>
      <c r="M524" s="4"/>
      <c r="N524" s="4"/>
    </row>
    <row r="525" spans="1:14">
      <c r="A525" s="4"/>
      <c r="B525" s="4"/>
      <c r="C525" s="390"/>
      <c r="D525" s="390"/>
      <c r="E525" s="391"/>
      <c r="F525" s="4"/>
      <c r="G525" s="4"/>
      <c r="H525" s="4"/>
      <c r="I525" s="4"/>
      <c r="J525" s="4"/>
      <c r="K525" s="4"/>
      <c r="L525" s="4"/>
      <c r="M525" s="4"/>
      <c r="N525" s="4"/>
    </row>
    <row r="526" spans="1:14">
      <c r="A526" s="4"/>
      <c r="B526" s="4"/>
      <c r="C526" s="390"/>
      <c r="D526" s="390"/>
      <c r="E526" s="391"/>
      <c r="F526" s="4"/>
      <c r="G526" s="4"/>
      <c r="H526" s="4"/>
      <c r="I526" s="4"/>
      <c r="J526" s="4"/>
      <c r="K526" s="4"/>
      <c r="L526" s="4"/>
      <c r="M526" s="4"/>
      <c r="N526" s="4"/>
    </row>
    <row r="527" spans="1:14">
      <c r="A527" s="4"/>
      <c r="B527" s="4"/>
      <c r="C527" s="390"/>
      <c r="D527" s="390"/>
      <c r="E527" s="391"/>
      <c r="F527" s="4"/>
      <c r="G527" s="4"/>
      <c r="H527" s="4"/>
      <c r="I527" s="4"/>
      <c r="J527" s="4"/>
      <c r="K527" s="4"/>
      <c r="L527" s="4"/>
      <c r="M527" s="4"/>
      <c r="N527" s="4"/>
    </row>
    <row r="528" spans="1:14">
      <c r="A528" s="4"/>
      <c r="B528" s="4"/>
      <c r="C528" s="390"/>
      <c r="D528" s="390"/>
      <c r="E528" s="391"/>
      <c r="F528" s="4"/>
      <c r="G528" s="4"/>
      <c r="H528" s="4"/>
      <c r="I528" s="4"/>
      <c r="J528" s="4"/>
      <c r="K528" s="4"/>
      <c r="L528" s="4"/>
      <c r="M528" s="4"/>
      <c r="N528" s="4"/>
    </row>
    <row r="529" spans="1:14">
      <c r="A529" s="4"/>
      <c r="B529" s="4"/>
      <c r="C529" s="390"/>
      <c r="D529" s="390"/>
      <c r="E529" s="391"/>
      <c r="F529" s="4"/>
      <c r="G529" s="4"/>
      <c r="H529" s="4"/>
      <c r="I529" s="4"/>
      <c r="J529" s="4"/>
      <c r="K529" s="4"/>
      <c r="L529" s="4"/>
      <c r="M529" s="4"/>
      <c r="N529" s="4"/>
    </row>
    <row r="530" spans="1:14">
      <c r="A530" s="4"/>
      <c r="B530" s="4"/>
      <c r="C530" s="390"/>
      <c r="D530" s="390"/>
      <c r="E530" s="391"/>
      <c r="F530" s="4"/>
      <c r="G530" s="4"/>
      <c r="H530" s="4"/>
      <c r="I530" s="4"/>
      <c r="J530" s="4"/>
      <c r="K530" s="4"/>
      <c r="L530" s="4"/>
      <c r="M530" s="4"/>
      <c r="N530" s="4"/>
    </row>
    <row r="531" spans="1:14">
      <c r="A531" s="4"/>
      <c r="B531" s="4"/>
      <c r="C531" s="390"/>
      <c r="D531" s="390"/>
      <c r="E531" s="391"/>
      <c r="F531" s="4"/>
      <c r="G531" s="4"/>
      <c r="H531" s="4"/>
      <c r="I531" s="4"/>
      <c r="J531" s="4"/>
      <c r="K531" s="4"/>
      <c r="L531" s="4"/>
      <c r="M531" s="4"/>
      <c r="N531" s="4"/>
    </row>
    <row r="532" spans="1:14">
      <c r="A532" s="4"/>
      <c r="B532" s="4"/>
      <c r="C532" s="390"/>
      <c r="D532" s="390"/>
      <c r="E532" s="391"/>
      <c r="F532" s="4"/>
      <c r="G532" s="4"/>
      <c r="H532" s="4"/>
      <c r="I532" s="4"/>
      <c r="J532" s="4"/>
      <c r="K532" s="4"/>
      <c r="L532" s="4"/>
      <c r="M532" s="4"/>
      <c r="N532" s="4"/>
    </row>
    <row r="533" spans="1:14">
      <c r="A533" s="4"/>
      <c r="B533" s="4"/>
      <c r="C533" s="390"/>
      <c r="D533" s="390"/>
      <c r="E533" s="391"/>
      <c r="F533" s="4"/>
      <c r="G533" s="4"/>
      <c r="H533" s="4"/>
      <c r="I533" s="4"/>
      <c r="J533" s="4"/>
      <c r="K533" s="4"/>
      <c r="L533" s="4"/>
      <c r="M533" s="4"/>
      <c r="N533" s="4"/>
    </row>
    <row r="534" spans="1:14">
      <c r="A534" s="4"/>
      <c r="B534" s="4"/>
      <c r="C534" s="390"/>
      <c r="D534" s="390"/>
      <c r="E534" s="391"/>
      <c r="F534" s="4"/>
      <c r="G534" s="4"/>
      <c r="H534" s="4"/>
      <c r="I534" s="4"/>
      <c r="J534" s="4"/>
      <c r="K534" s="4"/>
      <c r="L534" s="4"/>
      <c r="M534" s="4"/>
      <c r="N534" s="4"/>
    </row>
    <row r="535" spans="1:14">
      <c r="A535" s="4"/>
      <c r="B535" s="4"/>
      <c r="C535" s="390"/>
      <c r="D535" s="390"/>
      <c r="E535" s="391"/>
      <c r="F535" s="4"/>
      <c r="G535" s="4"/>
      <c r="H535" s="4"/>
      <c r="I535" s="4"/>
      <c r="J535" s="4"/>
      <c r="K535" s="4"/>
      <c r="L535" s="4"/>
      <c r="M535" s="4"/>
      <c r="N535" s="4"/>
    </row>
    <row r="536" spans="1:14">
      <c r="A536" s="4"/>
      <c r="B536" s="4"/>
      <c r="C536" s="390"/>
      <c r="D536" s="390"/>
      <c r="E536" s="391"/>
      <c r="F536" s="4"/>
      <c r="G536" s="4"/>
      <c r="H536" s="4"/>
      <c r="I536" s="4"/>
      <c r="J536" s="4"/>
      <c r="K536" s="4"/>
      <c r="L536" s="4"/>
      <c r="M536" s="4"/>
      <c r="N536" s="4"/>
    </row>
    <row r="537" spans="1:14">
      <c r="A537" s="4"/>
      <c r="B537" s="4"/>
      <c r="C537" s="390"/>
      <c r="D537" s="390"/>
      <c r="E537" s="391"/>
      <c r="F537" s="4"/>
      <c r="G537" s="4"/>
      <c r="H537" s="4"/>
      <c r="I537" s="4"/>
      <c r="J537" s="4"/>
      <c r="K537" s="4"/>
      <c r="L537" s="4"/>
      <c r="M537" s="4"/>
      <c r="N537" s="4"/>
    </row>
    <row r="538" spans="1:14">
      <c r="A538" s="4"/>
      <c r="B538" s="4"/>
      <c r="C538" s="390"/>
      <c r="D538" s="390"/>
      <c r="E538" s="391"/>
      <c r="F538" s="4"/>
      <c r="G538" s="4"/>
      <c r="H538" s="4"/>
      <c r="I538" s="4"/>
      <c r="J538" s="4"/>
      <c r="K538" s="4"/>
      <c r="L538" s="4"/>
      <c r="M538" s="4"/>
      <c r="N538" s="4"/>
    </row>
    <row r="539" spans="1:14">
      <c r="A539" s="4"/>
      <c r="B539" s="4"/>
      <c r="C539" s="390"/>
      <c r="D539" s="390"/>
      <c r="E539" s="391"/>
      <c r="F539" s="4"/>
      <c r="G539" s="4"/>
      <c r="H539" s="4"/>
      <c r="I539" s="4"/>
      <c r="J539" s="4"/>
      <c r="K539" s="4"/>
      <c r="L539" s="4"/>
      <c r="M539" s="4"/>
      <c r="N539" s="4"/>
    </row>
    <row r="540" spans="1:14">
      <c r="A540" s="4"/>
      <c r="B540" s="4"/>
      <c r="C540" s="390"/>
      <c r="D540" s="390"/>
      <c r="E540" s="391"/>
      <c r="F540" s="4"/>
      <c r="G540" s="4"/>
      <c r="H540" s="4"/>
      <c r="I540" s="4"/>
      <c r="J540" s="4"/>
      <c r="K540" s="4"/>
      <c r="L540" s="4"/>
      <c r="M540" s="4"/>
      <c r="N540" s="4"/>
    </row>
    <row r="541" spans="1:14">
      <c r="A541" s="4"/>
      <c r="B541" s="4"/>
      <c r="C541" s="390"/>
      <c r="D541" s="390"/>
      <c r="E541" s="391"/>
      <c r="F541" s="4"/>
      <c r="G541" s="4"/>
      <c r="H541" s="4"/>
      <c r="I541" s="4"/>
      <c r="J541" s="4"/>
      <c r="K541" s="4"/>
      <c r="L541" s="4"/>
      <c r="M541" s="4"/>
      <c r="N541" s="4"/>
    </row>
    <row r="542" spans="1:14">
      <c r="A542" s="4"/>
      <c r="B542" s="4"/>
      <c r="C542" s="390"/>
      <c r="D542" s="390"/>
      <c r="E542" s="391"/>
      <c r="F542" s="4"/>
      <c r="G542" s="4"/>
      <c r="H542" s="4"/>
      <c r="I542" s="4"/>
      <c r="J542" s="4"/>
      <c r="K542" s="4"/>
      <c r="L542" s="4"/>
      <c r="M542" s="4"/>
      <c r="N542" s="4"/>
    </row>
    <row r="543" spans="1:14">
      <c r="A543" s="4"/>
      <c r="B543" s="4"/>
      <c r="C543" s="390"/>
      <c r="D543" s="390"/>
      <c r="E543" s="391"/>
      <c r="F543" s="4"/>
      <c r="G543" s="4"/>
      <c r="H543" s="4"/>
      <c r="I543" s="4"/>
      <c r="J543" s="4"/>
      <c r="K543" s="4"/>
      <c r="L543" s="4"/>
      <c r="M543" s="4"/>
      <c r="N543" s="4"/>
    </row>
    <row r="544" spans="1:14">
      <c r="A544" s="4"/>
      <c r="B544" s="4"/>
      <c r="C544" s="390"/>
      <c r="D544" s="390"/>
      <c r="E544" s="391"/>
      <c r="F544" s="4"/>
      <c r="G544" s="4"/>
      <c r="H544" s="4"/>
      <c r="I544" s="4"/>
      <c r="J544" s="4"/>
      <c r="K544" s="4"/>
      <c r="L544" s="4"/>
      <c r="M544" s="4"/>
      <c r="N544" s="4"/>
    </row>
    <row r="545" spans="1:14">
      <c r="A545" s="4"/>
      <c r="B545" s="4"/>
      <c r="C545" s="390"/>
      <c r="D545" s="390"/>
      <c r="E545" s="391"/>
      <c r="F545" s="4"/>
      <c r="G545" s="4"/>
      <c r="H545" s="4"/>
      <c r="I545" s="4"/>
      <c r="J545" s="4"/>
      <c r="K545" s="4"/>
      <c r="L545" s="4"/>
      <c r="M545" s="4"/>
      <c r="N545" s="4"/>
    </row>
    <row r="546" spans="1:14">
      <c r="A546" s="4"/>
      <c r="B546" s="4"/>
      <c r="C546" s="390"/>
      <c r="D546" s="390"/>
      <c r="E546" s="391"/>
      <c r="F546" s="4"/>
      <c r="G546" s="4"/>
      <c r="H546" s="4"/>
      <c r="I546" s="4"/>
      <c r="J546" s="4"/>
      <c r="K546" s="4"/>
      <c r="L546" s="4"/>
      <c r="M546" s="4"/>
      <c r="N546" s="4"/>
    </row>
    <row r="547" spans="1:14">
      <c r="A547" s="4"/>
      <c r="B547" s="4"/>
      <c r="C547" s="390"/>
      <c r="D547" s="390"/>
      <c r="E547" s="391"/>
      <c r="F547" s="4"/>
      <c r="G547" s="4"/>
      <c r="H547" s="4"/>
      <c r="I547" s="4"/>
      <c r="J547" s="4"/>
      <c r="K547" s="4"/>
      <c r="L547" s="4"/>
      <c r="M547" s="4"/>
      <c r="N547" s="4"/>
    </row>
    <row r="548" spans="1:14">
      <c r="A548" s="4"/>
      <c r="B548" s="4"/>
      <c r="C548" s="390"/>
      <c r="D548" s="390"/>
      <c r="E548" s="391"/>
      <c r="F548" s="4"/>
      <c r="G548" s="4"/>
      <c r="H548" s="4"/>
      <c r="I548" s="4"/>
      <c r="J548" s="4"/>
      <c r="K548" s="4"/>
      <c r="L548" s="4"/>
      <c r="M548" s="4"/>
      <c r="N548" s="4"/>
    </row>
    <row r="549" spans="1:14">
      <c r="A549" s="4"/>
      <c r="B549" s="4"/>
      <c r="C549" s="390"/>
      <c r="D549" s="390"/>
      <c r="E549" s="391"/>
      <c r="F549" s="4"/>
      <c r="G549" s="4"/>
      <c r="H549" s="4"/>
      <c r="I549" s="4"/>
      <c r="J549" s="4"/>
      <c r="K549" s="4"/>
      <c r="L549" s="4"/>
      <c r="M549" s="4"/>
      <c r="N549" s="4"/>
    </row>
    <row r="550" spans="1:14">
      <c r="A550" s="4"/>
      <c r="B550" s="4"/>
      <c r="C550" s="390"/>
      <c r="D550" s="390"/>
      <c r="E550" s="391"/>
      <c r="F550" s="4"/>
      <c r="G550" s="4"/>
      <c r="H550" s="4"/>
      <c r="I550" s="4"/>
      <c r="J550" s="4"/>
      <c r="K550" s="4"/>
      <c r="L550" s="4"/>
      <c r="M550" s="4"/>
      <c r="N550" s="4"/>
    </row>
    <row r="551" spans="1:14">
      <c r="A551" s="4"/>
      <c r="B551" s="4"/>
      <c r="C551" s="390"/>
      <c r="D551" s="390"/>
      <c r="E551" s="391"/>
      <c r="F551" s="4"/>
      <c r="G551" s="4"/>
      <c r="H551" s="4"/>
      <c r="I551" s="4"/>
      <c r="J551" s="4"/>
      <c r="K551" s="4"/>
      <c r="L551" s="4"/>
      <c r="M551" s="4"/>
      <c r="N551" s="4"/>
    </row>
    <row r="552" spans="1:14">
      <c r="A552" s="4"/>
      <c r="B552" s="4"/>
      <c r="C552" s="390"/>
      <c r="D552" s="390"/>
      <c r="E552" s="391"/>
      <c r="F552" s="4"/>
      <c r="G552" s="4"/>
      <c r="H552" s="4"/>
      <c r="I552" s="4"/>
      <c r="J552" s="4"/>
      <c r="K552" s="4"/>
      <c r="L552" s="4"/>
      <c r="M552" s="4"/>
      <c r="N552" s="4"/>
    </row>
    <row r="553" spans="1:14">
      <c r="A553" s="4"/>
      <c r="B553" s="4"/>
      <c r="C553" s="390"/>
      <c r="D553" s="390"/>
      <c r="E553" s="391"/>
      <c r="F553" s="4"/>
      <c r="G553" s="4"/>
      <c r="H553" s="4"/>
      <c r="I553" s="4"/>
      <c r="J553" s="4"/>
      <c r="K553" s="4"/>
      <c r="L553" s="4"/>
      <c r="M553" s="4"/>
      <c r="N553" s="4"/>
    </row>
    <row r="554" spans="1:14">
      <c r="A554" s="4"/>
      <c r="B554" s="4"/>
      <c r="C554" s="390"/>
      <c r="D554" s="390"/>
      <c r="E554" s="391"/>
      <c r="F554" s="4"/>
      <c r="G554" s="4"/>
      <c r="H554" s="4"/>
      <c r="I554" s="4"/>
      <c r="J554" s="4"/>
      <c r="K554" s="4"/>
      <c r="L554" s="4"/>
      <c r="M554" s="4"/>
      <c r="N554" s="4"/>
    </row>
    <row r="555" spans="1:14">
      <c r="A555" s="4"/>
      <c r="B555" s="4"/>
      <c r="C555" s="390"/>
      <c r="D555" s="390"/>
      <c r="E555" s="391"/>
      <c r="F555" s="4"/>
      <c r="G555" s="4"/>
      <c r="H555" s="4"/>
      <c r="I555" s="4"/>
      <c r="J555" s="4"/>
      <c r="K555" s="4"/>
      <c r="L555" s="4"/>
      <c r="M555" s="4"/>
      <c r="N555" s="4"/>
    </row>
    <row r="556" spans="1:14">
      <c r="A556" s="4"/>
      <c r="B556" s="4"/>
      <c r="C556" s="390"/>
      <c r="D556" s="390"/>
      <c r="E556" s="391"/>
      <c r="F556" s="4"/>
      <c r="G556" s="4"/>
      <c r="H556" s="4"/>
      <c r="I556" s="4"/>
      <c r="J556" s="4"/>
      <c r="K556" s="4"/>
      <c r="L556" s="4"/>
      <c r="M556" s="4"/>
      <c r="N556" s="4"/>
    </row>
    <row r="557" spans="1:14">
      <c r="A557" s="4"/>
      <c r="B557" s="4"/>
      <c r="C557" s="390"/>
      <c r="D557" s="390"/>
      <c r="E557" s="391"/>
      <c r="F557" s="4"/>
      <c r="G557" s="4"/>
      <c r="H557" s="4"/>
      <c r="I557" s="4"/>
      <c r="J557" s="4"/>
      <c r="K557" s="4"/>
      <c r="L557" s="4"/>
      <c r="M557" s="4"/>
      <c r="N557" s="4"/>
    </row>
    <row r="558" spans="1:14">
      <c r="A558" s="4"/>
      <c r="B558" s="4"/>
      <c r="C558" s="390"/>
      <c r="D558" s="390"/>
      <c r="E558" s="391"/>
      <c r="F558" s="4"/>
      <c r="G558" s="4"/>
      <c r="H558" s="4"/>
      <c r="I558" s="4"/>
      <c r="J558" s="4"/>
      <c r="K558" s="4"/>
      <c r="L558" s="4"/>
      <c r="M558" s="4"/>
      <c r="N558" s="4"/>
    </row>
    <row r="559" spans="1:14">
      <c r="A559" s="4"/>
      <c r="B559" s="4"/>
      <c r="C559" s="390"/>
      <c r="D559" s="390"/>
      <c r="E559" s="391"/>
      <c r="F559" s="4"/>
      <c r="G559" s="4"/>
      <c r="H559" s="4"/>
      <c r="I559" s="4"/>
      <c r="J559" s="4"/>
      <c r="K559" s="4"/>
      <c r="L559" s="4"/>
      <c r="M559" s="4"/>
      <c r="N559" s="4"/>
    </row>
    <row r="560" spans="1:14">
      <c r="A560" s="4"/>
      <c r="B560" s="4"/>
      <c r="C560" s="390"/>
      <c r="D560" s="390"/>
      <c r="E560" s="391"/>
      <c r="F560" s="4"/>
      <c r="G560" s="4"/>
      <c r="H560" s="4"/>
      <c r="I560" s="4"/>
      <c r="J560" s="4"/>
      <c r="K560" s="4"/>
      <c r="L560" s="4"/>
      <c r="M560" s="4"/>
      <c r="N560" s="4"/>
    </row>
    <row r="561" spans="1:14">
      <c r="A561" s="4"/>
      <c r="B561" s="4"/>
      <c r="C561" s="390"/>
      <c r="D561" s="390"/>
      <c r="E561" s="391"/>
      <c r="F561" s="4"/>
      <c r="G561" s="4"/>
      <c r="H561" s="4"/>
      <c r="I561" s="4"/>
      <c r="J561" s="4"/>
      <c r="K561" s="4"/>
      <c r="L561" s="4"/>
      <c r="M561" s="4"/>
      <c r="N561" s="4"/>
    </row>
    <row r="562" spans="1:14">
      <c r="A562" s="4"/>
      <c r="B562" s="4"/>
      <c r="C562" s="390"/>
      <c r="D562" s="390"/>
      <c r="E562" s="391"/>
      <c r="F562" s="4"/>
      <c r="G562" s="4"/>
      <c r="H562" s="4"/>
      <c r="I562" s="4"/>
      <c r="J562" s="4"/>
      <c r="K562" s="4"/>
      <c r="L562" s="4"/>
      <c r="M562" s="4"/>
      <c r="N562" s="4"/>
    </row>
    <row r="563" spans="1:14">
      <c r="A563" s="4"/>
      <c r="B563" s="4"/>
      <c r="C563" s="390"/>
      <c r="D563" s="390"/>
      <c r="E563" s="391"/>
      <c r="F563" s="4"/>
      <c r="G563" s="4"/>
      <c r="H563" s="4"/>
      <c r="I563" s="4"/>
      <c r="J563" s="4"/>
      <c r="K563" s="4"/>
      <c r="L563" s="4"/>
      <c r="M563" s="4"/>
      <c r="N563" s="4"/>
    </row>
    <row r="564" spans="1:14">
      <c r="A564" s="4"/>
      <c r="B564" s="4"/>
      <c r="C564" s="390"/>
      <c r="D564" s="390"/>
      <c r="E564" s="391"/>
      <c r="F564" s="4"/>
      <c r="G564" s="4"/>
      <c r="H564" s="4"/>
      <c r="I564" s="4"/>
      <c r="J564" s="4"/>
      <c r="K564" s="4"/>
      <c r="L564" s="4"/>
      <c r="M564" s="4"/>
      <c r="N564" s="4"/>
    </row>
    <row r="565" spans="1:14">
      <c r="A565" s="4"/>
      <c r="B565" s="4"/>
      <c r="C565" s="390"/>
      <c r="D565" s="390"/>
      <c r="E565" s="391"/>
      <c r="F565" s="4"/>
      <c r="G565" s="4"/>
      <c r="H565" s="4"/>
      <c r="I565" s="4"/>
      <c r="J565" s="4"/>
      <c r="K565" s="4"/>
      <c r="L565" s="4"/>
      <c r="M565" s="4"/>
      <c r="N565" s="4"/>
    </row>
    <row r="566" spans="1:14">
      <c r="A566" s="4"/>
      <c r="B566" s="4"/>
      <c r="C566" s="390"/>
      <c r="D566" s="390"/>
      <c r="E566" s="391"/>
      <c r="F566" s="4"/>
      <c r="G566" s="4"/>
      <c r="H566" s="4"/>
      <c r="I566" s="4"/>
      <c r="J566" s="4"/>
      <c r="K566" s="4"/>
      <c r="L566" s="4"/>
      <c r="M566" s="4"/>
      <c r="N566" s="4"/>
    </row>
    <row r="567" spans="1:14">
      <c r="A567" s="4"/>
      <c r="B567" s="4"/>
      <c r="C567" s="390"/>
      <c r="D567" s="390"/>
      <c r="E567" s="391"/>
      <c r="F567" s="4"/>
      <c r="G567" s="4"/>
      <c r="H567" s="4"/>
      <c r="I567" s="4"/>
      <c r="J567" s="4"/>
      <c r="K567" s="4"/>
      <c r="L567" s="4"/>
      <c r="M567" s="4"/>
      <c r="N567" s="4"/>
    </row>
    <row r="568" spans="1:14">
      <c r="A568" s="4"/>
      <c r="B568" s="4"/>
      <c r="C568" s="390"/>
      <c r="D568" s="390"/>
      <c r="E568" s="391"/>
      <c r="F568" s="4"/>
      <c r="G568" s="4"/>
      <c r="H568" s="4"/>
      <c r="I568" s="4"/>
      <c r="J568" s="4"/>
      <c r="K568" s="4"/>
      <c r="L568" s="4"/>
      <c r="M568" s="4"/>
      <c r="N568" s="4"/>
    </row>
    <row r="569" spans="1:14">
      <c r="A569" s="4"/>
      <c r="B569" s="4"/>
      <c r="C569" s="390"/>
      <c r="D569" s="390"/>
      <c r="E569" s="391"/>
      <c r="F569" s="4"/>
      <c r="G569" s="4"/>
      <c r="H569" s="4"/>
      <c r="I569" s="4"/>
      <c r="J569" s="4"/>
      <c r="K569" s="4"/>
      <c r="L569" s="4"/>
      <c r="M569" s="4"/>
      <c r="N569" s="4"/>
    </row>
    <row r="570" spans="1:14">
      <c r="A570" s="4"/>
      <c r="B570" s="4"/>
      <c r="C570" s="390"/>
      <c r="D570" s="390"/>
      <c r="E570" s="391"/>
      <c r="F570" s="4"/>
      <c r="G570" s="4"/>
      <c r="H570" s="4"/>
      <c r="I570" s="4"/>
      <c r="J570" s="4"/>
      <c r="K570" s="4"/>
      <c r="L570" s="4"/>
      <c r="M570" s="4"/>
      <c r="N570" s="4"/>
    </row>
    <row r="571" spans="1:14">
      <c r="A571" s="4"/>
      <c r="B571" s="4"/>
      <c r="C571" s="390"/>
      <c r="D571" s="390"/>
      <c r="E571" s="391"/>
      <c r="F571" s="4"/>
      <c r="G571" s="4"/>
      <c r="H571" s="4"/>
      <c r="I571" s="4"/>
      <c r="J571" s="4"/>
      <c r="K571" s="4"/>
      <c r="L571" s="4"/>
      <c r="M571" s="4"/>
      <c r="N571" s="4"/>
    </row>
    <row r="572" spans="1:14">
      <c r="A572" s="4"/>
      <c r="B572" s="4"/>
      <c r="C572" s="390"/>
      <c r="D572" s="390"/>
      <c r="E572" s="391"/>
      <c r="F572" s="4"/>
      <c r="G572" s="4"/>
      <c r="H572" s="4"/>
      <c r="I572" s="4"/>
      <c r="J572" s="4"/>
      <c r="K572" s="4"/>
      <c r="L572" s="4"/>
      <c r="M572" s="4"/>
      <c r="N572" s="4"/>
    </row>
    <row r="573" spans="1:14">
      <c r="A573" s="4"/>
      <c r="B573" s="4"/>
      <c r="C573" s="390"/>
      <c r="D573" s="390"/>
      <c r="E573" s="391"/>
      <c r="F573" s="4"/>
      <c r="G573" s="4"/>
      <c r="H573" s="4"/>
      <c r="I573" s="4"/>
      <c r="J573" s="4"/>
      <c r="K573" s="4"/>
      <c r="L573" s="4"/>
      <c r="M573" s="4"/>
      <c r="N573" s="4"/>
    </row>
    <row r="574" spans="1:14">
      <c r="A574" s="4"/>
      <c r="B574" s="4"/>
      <c r="C574" s="390"/>
      <c r="D574" s="390"/>
      <c r="E574" s="391"/>
      <c r="F574" s="4"/>
      <c r="G574" s="4"/>
      <c r="H574" s="4"/>
      <c r="I574" s="4"/>
      <c r="J574" s="4"/>
      <c r="K574" s="4"/>
      <c r="L574" s="4"/>
      <c r="M574" s="4"/>
      <c r="N574" s="4"/>
    </row>
    <row r="575" spans="1:14">
      <c r="A575" s="4"/>
      <c r="B575" s="4"/>
      <c r="C575" s="390"/>
      <c r="D575" s="390"/>
      <c r="E575" s="391"/>
      <c r="F575" s="4"/>
      <c r="G575" s="4"/>
      <c r="H575" s="4"/>
      <c r="I575" s="4"/>
      <c r="J575" s="4"/>
      <c r="K575" s="4"/>
      <c r="L575" s="4"/>
      <c r="M575" s="4"/>
      <c r="N575" s="4"/>
    </row>
    <row r="576" spans="1:14">
      <c r="A576" s="4"/>
      <c r="B576" s="4"/>
      <c r="C576" s="390"/>
      <c r="D576" s="390"/>
      <c r="E576" s="391"/>
      <c r="F576" s="4"/>
      <c r="G576" s="4"/>
      <c r="H576" s="4"/>
      <c r="I576" s="4"/>
      <c r="J576" s="4"/>
      <c r="K576" s="4"/>
      <c r="L576" s="4"/>
      <c r="M576" s="4"/>
      <c r="N576" s="4"/>
    </row>
    <row r="577" spans="1:14">
      <c r="A577" s="4"/>
      <c r="B577" s="4"/>
      <c r="C577" s="390"/>
      <c r="D577" s="390"/>
      <c r="E577" s="391"/>
      <c r="F577" s="4"/>
      <c r="G577" s="4"/>
      <c r="H577" s="4"/>
      <c r="I577" s="4"/>
      <c r="J577" s="4"/>
      <c r="K577" s="4"/>
      <c r="L577" s="4"/>
      <c r="M577" s="4"/>
      <c r="N577" s="4"/>
    </row>
    <row r="578" spans="1:14">
      <c r="A578" s="4"/>
      <c r="B578" s="4"/>
      <c r="C578" s="390"/>
      <c r="D578" s="390"/>
      <c r="E578" s="391"/>
      <c r="F578" s="4"/>
      <c r="G578" s="4"/>
      <c r="H578" s="4"/>
      <c r="I578" s="4"/>
      <c r="J578" s="4"/>
      <c r="K578" s="4"/>
      <c r="L578" s="4"/>
      <c r="M578" s="4"/>
      <c r="N578" s="4"/>
    </row>
    <row r="579" spans="1:14">
      <c r="A579" s="4"/>
      <c r="B579" s="4"/>
      <c r="C579" s="390"/>
      <c r="D579" s="390"/>
      <c r="E579" s="391"/>
      <c r="F579" s="4"/>
      <c r="G579" s="4"/>
      <c r="H579" s="4"/>
      <c r="I579" s="4"/>
      <c r="J579" s="4"/>
      <c r="K579" s="4"/>
      <c r="L579" s="4"/>
      <c r="M579" s="4"/>
      <c r="N579" s="4"/>
    </row>
    <row r="580" spans="1:14">
      <c r="A580" s="4"/>
      <c r="B580" s="4"/>
      <c r="C580" s="390"/>
      <c r="D580" s="390"/>
      <c r="E580" s="391"/>
      <c r="F580" s="4"/>
      <c r="G580" s="4"/>
      <c r="H580" s="4"/>
      <c r="I580" s="4"/>
      <c r="J580" s="4"/>
      <c r="K580" s="4"/>
      <c r="L580" s="4"/>
      <c r="M580" s="4"/>
      <c r="N580" s="4"/>
    </row>
    <row r="581" spans="1:14">
      <c r="A581" s="4"/>
      <c r="B581" s="4"/>
      <c r="C581" s="390"/>
      <c r="D581" s="390"/>
      <c r="E581" s="391"/>
      <c r="F581" s="4"/>
      <c r="G581" s="4"/>
      <c r="H581" s="4"/>
      <c r="I581" s="4"/>
      <c r="J581" s="4"/>
      <c r="K581" s="4"/>
      <c r="L581" s="4"/>
      <c r="M581" s="4"/>
      <c r="N581" s="4"/>
    </row>
    <row r="582" spans="1:14">
      <c r="A582" s="4"/>
      <c r="B582" s="4"/>
      <c r="C582" s="390"/>
      <c r="D582" s="390"/>
      <c r="E582" s="391"/>
      <c r="F582" s="4"/>
      <c r="G582" s="4"/>
      <c r="H582" s="4"/>
      <c r="I582" s="4"/>
      <c r="J582" s="4"/>
      <c r="K582" s="4"/>
      <c r="L582" s="4"/>
      <c r="M582" s="4"/>
      <c r="N582" s="4"/>
    </row>
    <row r="583" spans="1:14">
      <c r="A583" s="4"/>
      <c r="B583" s="4"/>
      <c r="C583" s="390"/>
      <c r="D583" s="390"/>
      <c r="E583" s="391"/>
      <c r="F583" s="4"/>
      <c r="G583" s="4"/>
      <c r="H583" s="4"/>
      <c r="I583" s="4"/>
      <c r="J583" s="4"/>
      <c r="K583" s="4"/>
      <c r="L583" s="4"/>
      <c r="M583" s="4"/>
      <c r="N583" s="4"/>
    </row>
    <row r="584" spans="1:14">
      <c r="A584" s="4"/>
      <c r="B584" s="4"/>
      <c r="C584" s="390"/>
      <c r="D584" s="390"/>
      <c r="E584" s="391"/>
      <c r="F584" s="4"/>
      <c r="G584" s="4"/>
      <c r="H584" s="4"/>
      <c r="I584" s="4"/>
      <c r="J584" s="4"/>
      <c r="K584" s="4"/>
      <c r="L584" s="4"/>
      <c r="M584" s="4"/>
      <c r="N584" s="4"/>
    </row>
    <row r="585" spans="1:14">
      <c r="A585" s="4"/>
      <c r="B585" s="4"/>
      <c r="C585" s="390"/>
      <c r="D585" s="390"/>
      <c r="E585" s="391"/>
      <c r="F585" s="4"/>
      <c r="G585" s="4"/>
      <c r="H585" s="4"/>
      <c r="I585" s="4"/>
      <c r="J585" s="4"/>
      <c r="K585" s="4"/>
      <c r="L585" s="4"/>
      <c r="M585" s="4"/>
      <c r="N585" s="4"/>
    </row>
    <row r="586" spans="1:14">
      <c r="A586" s="4"/>
      <c r="B586" s="4"/>
      <c r="C586" s="390"/>
      <c r="D586" s="390"/>
      <c r="E586" s="391"/>
      <c r="F586" s="4"/>
      <c r="G586" s="4"/>
      <c r="H586" s="4"/>
      <c r="I586" s="4"/>
      <c r="J586" s="4"/>
      <c r="K586" s="4"/>
      <c r="L586" s="4"/>
      <c r="M586" s="4"/>
      <c r="N586" s="4"/>
    </row>
    <row r="587" spans="1:14">
      <c r="A587" s="4"/>
      <c r="B587" s="4"/>
      <c r="C587" s="390"/>
      <c r="D587" s="390"/>
      <c r="E587" s="391"/>
      <c r="F587" s="4"/>
      <c r="G587" s="4"/>
      <c r="H587" s="4"/>
      <c r="I587" s="4"/>
      <c r="J587" s="4"/>
      <c r="K587" s="4"/>
      <c r="L587" s="4"/>
      <c r="M587" s="4"/>
      <c r="N587" s="4"/>
    </row>
    <row r="588" spans="1:14">
      <c r="A588" s="4"/>
      <c r="B588" s="4"/>
      <c r="C588" s="390"/>
      <c r="D588" s="390"/>
      <c r="E588" s="391"/>
      <c r="F588" s="4"/>
      <c r="G588" s="4"/>
      <c r="H588" s="4"/>
      <c r="I588" s="4"/>
      <c r="J588" s="4"/>
      <c r="K588" s="4"/>
      <c r="L588" s="4"/>
      <c r="M588" s="4"/>
      <c r="N588" s="4"/>
    </row>
    <row r="589" spans="1:14">
      <c r="A589" s="4"/>
      <c r="B589" s="4"/>
      <c r="C589" s="390"/>
      <c r="D589" s="390"/>
      <c r="E589" s="391"/>
      <c r="F589" s="4"/>
      <c r="G589" s="4"/>
      <c r="H589" s="4"/>
      <c r="I589" s="4"/>
      <c r="J589" s="4"/>
      <c r="K589" s="4"/>
      <c r="L589" s="4"/>
      <c r="M589" s="4"/>
      <c r="N589" s="4"/>
    </row>
    <row r="590" spans="1:14">
      <c r="A590" s="4"/>
      <c r="B590" s="4"/>
      <c r="C590" s="390"/>
      <c r="D590" s="390"/>
      <c r="E590" s="391"/>
      <c r="F590" s="4"/>
      <c r="G590" s="4"/>
      <c r="H590" s="4"/>
      <c r="I590" s="4"/>
      <c r="J590" s="4"/>
      <c r="K590" s="4"/>
      <c r="L590" s="4"/>
      <c r="M590" s="4"/>
      <c r="N590" s="4"/>
    </row>
    <row r="591" spans="1:14">
      <c r="A591" s="4"/>
      <c r="B591" s="4"/>
      <c r="C591" s="390"/>
      <c r="D591" s="390"/>
      <c r="E591" s="391"/>
      <c r="F591" s="4"/>
      <c r="G591" s="4"/>
      <c r="H591" s="4"/>
      <c r="I591" s="4"/>
      <c r="J591" s="4"/>
      <c r="K591" s="4"/>
      <c r="L591" s="4"/>
      <c r="M591" s="4"/>
      <c r="N591" s="4"/>
    </row>
    <row r="592" spans="1:14">
      <c r="A592" s="4"/>
      <c r="B592" s="4"/>
      <c r="C592" s="390"/>
      <c r="D592" s="390"/>
      <c r="E592" s="391"/>
      <c r="F592" s="4"/>
      <c r="G592" s="4"/>
      <c r="H592" s="4"/>
      <c r="I592" s="4"/>
      <c r="J592" s="4"/>
      <c r="K592" s="4"/>
      <c r="L592" s="4"/>
      <c r="M592" s="4"/>
      <c r="N592" s="4"/>
    </row>
    <row r="593" spans="1:14">
      <c r="A593" s="4"/>
      <c r="B593" s="4"/>
      <c r="C593" s="390"/>
      <c r="D593" s="390"/>
      <c r="E593" s="391"/>
      <c r="F593" s="4"/>
      <c r="G593" s="4"/>
      <c r="H593" s="4"/>
      <c r="I593" s="4"/>
      <c r="J593" s="4"/>
      <c r="K593" s="4"/>
      <c r="L593" s="4"/>
      <c r="M593" s="4"/>
      <c r="N593" s="4"/>
    </row>
    <row r="594" spans="1:14">
      <c r="A594" s="4"/>
      <c r="B594" s="4"/>
      <c r="C594" s="390"/>
      <c r="D594" s="390"/>
      <c r="E594" s="391"/>
      <c r="F594" s="4"/>
      <c r="G594" s="4"/>
      <c r="H594" s="4"/>
      <c r="I594" s="4"/>
      <c r="J594" s="4"/>
      <c r="K594" s="4"/>
      <c r="L594" s="4"/>
      <c r="M594" s="4"/>
      <c r="N594" s="4"/>
    </row>
    <row r="595" spans="1:14">
      <c r="A595" s="4"/>
      <c r="B595" s="4"/>
      <c r="C595" s="390"/>
      <c r="D595" s="390"/>
      <c r="E595" s="391"/>
      <c r="F595" s="4"/>
      <c r="G595" s="4"/>
      <c r="H595" s="4"/>
      <c r="I595" s="4"/>
      <c r="J595" s="4"/>
      <c r="K595" s="4"/>
      <c r="L595" s="4"/>
      <c r="M595" s="4"/>
      <c r="N595" s="4"/>
    </row>
    <row r="596" spans="1:14">
      <c r="A596" s="4"/>
      <c r="B596" s="4"/>
      <c r="C596" s="390"/>
      <c r="D596" s="390"/>
      <c r="E596" s="391"/>
      <c r="F596" s="4"/>
      <c r="G596" s="4"/>
      <c r="H596" s="4"/>
      <c r="I596" s="4"/>
      <c r="J596" s="4"/>
      <c r="K596" s="4"/>
      <c r="L596" s="4"/>
      <c r="M596" s="4"/>
      <c r="N596" s="4"/>
    </row>
    <row r="597" spans="1:14">
      <c r="A597" s="4"/>
      <c r="B597" s="4"/>
      <c r="C597" s="390"/>
      <c r="D597" s="390"/>
      <c r="E597" s="391"/>
      <c r="F597" s="4"/>
      <c r="G597" s="4"/>
      <c r="H597" s="4"/>
      <c r="I597" s="4"/>
      <c r="J597" s="4"/>
      <c r="K597" s="4"/>
      <c r="L597" s="4"/>
      <c r="M597" s="4"/>
      <c r="N597" s="4"/>
    </row>
    <row r="598" spans="1:14">
      <c r="A598" s="4"/>
      <c r="B598" s="4"/>
      <c r="C598" s="390"/>
      <c r="D598" s="390"/>
      <c r="E598" s="391"/>
      <c r="F598" s="4"/>
      <c r="G598" s="4"/>
      <c r="H598" s="4"/>
      <c r="I598" s="4"/>
      <c r="J598" s="4"/>
      <c r="K598" s="4"/>
      <c r="L598" s="4"/>
      <c r="M598" s="4"/>
      <c r="N598" s="4"/>
    </row>
    <row r="599" spans="1:14">
      <c r="A599" s="4"/>
      <c r="B599" s="4"/>
      <c r="C599" s="390"/>
      <c r="D599" s="390"/>
      <c r="E599" s="391"/>
      <c r="F599" s="4"/>
      <c r="G599" s="4"/>
      <c r="H599" s="4"/>
      <c r="I599" s="4"/>
      <c r="J599" s="4"/>
      <c r="K599" s="4"/>
      <c r="L599" s="4"/>
      <c r="M599" s="4"/>
      <c r="N599" s="4"/>
    </row>
    <row r="600" spans="1:14">
      <c r="A600" s="4"/>
      <c r="B600" s="4"/>
      <c r="C600" s="390"/>
      <c r="D600" s="390"/>
      <c r="E600" s="391"/>
      <c r="F600" s="4"/>
      <c r="G600" s="4"/>
      <c r="H600" s="4"/>
      <c r="I600" s="4"/>
      <c r="J600" s="4"/>
      <c r="K600" s="4"/>
      <c r="L600" s="4"/>
      <c r="M600" s="4"/>
      <c r="N600" s="4"/>
    </row>
    <row r="601" spans="1:14">
      <c r="A601" s="4"/>
      <c r="B601" s="4"/>
      <c r="C601" s="390"/>
      <c r="D601" s="390"/>
      <c r="E601" s="391"/>
      <c r="F601" s="4"/>
      <c r="G601" s="4"/>
      <c r="H601" s="4"/>
      <c r="I601" s="4"/>
      <c r="J601" s="4"/>
      <c r="K601" s="4"/>
      <c r="L601" s="4"/>
      <c r="M601" s="4"/>
      <c r="N601" s="4"/>
    </row>
    <row r="602" spans="1:14">
      <c r="A602" s="4"/>
      <c r="B602" s="4"/>
      <c r="C602" s="390"/>
      <c r="D602" s="390"/>
      <c r="E602" s="391"/>
      <c r="F602" s="4"/>
      <c r="G602" s="4"/>
      <c r="H602" s="4"/>
      <c r="I602" s="4"/>
      <c r="J602" s="4"/>
      <c r="K602" s="4"/>
      <c r="L602" s="4"/>
      <c r="M602" s="4"/>
      <c r="N602" s="4"/>
    </row>
    <row r="603" spans="1:14">
      <c r="A603" s="4"/>
      <c r="B603" s="4"/>
      <c r="C603" s="390"/>
      <c r="D603" s="390"/>
      <c r="E603" s="391"/>
      <c r="F603" s="4"/>
      <c r="G603" s="4"/>
      <c r="H603" s="4"/>
      <c r="I603" s="4"/>
      <c r="J603" s="4"/>
      <c r="K603" s="4"/>
      <c r="L603" s="4"/>
      <c r="M603" s="4"/>
      <c r="N603" s="4"/>
    </row>
    <row r="604" spans="1:14">
      <c r="A604" s="4"/>
      <c r="B604" s="4"/>
      <c r="C604" s="390"/>
      <c r="D604" s="390"/>
      <c r="E604" s="391"/>
      <c r="F604" s="4"/>
      <c r="G604" s="4"/>
      <c r="H604" s="4"/>
      <c r="I604" s="4"/>
      <c r="J604" s="4"/>
      <c r="K604" s="4"/>
      <c r="L604" s="4"/>
      <c r="M604" s="4"/>
      <c r="N604" s="4"/>
    </row>
    <row r="605" spans="1:14">
      <c r="A605" s="4"/>
      <c r="B605" s="4"/>
      <c r="C605" s="390"/>
      <c r="D605" s="390"/>
      <c r="E605" s="391"/>
      <c r="F605" s="4"/>
      <c r="G605" s="4"/>
      <c r="H605" s="4"/>
      <c r="I605" s="4"/>
      <c r="J605" s="4"/>
      <c r="K605" s="4"/>
      <c r="L605" s="4"/>
      <c r="M605" s="4"/>
      <c r="N605" s="4"/>
    </row>
    <row r="606" spans="1:14">
      <c r="A606" s="4"/>
      <c r="B606" s="4"/>
      <c r="C606" s="390"/>
      <c r="D606" s="390"/>
      <c r="E606" s="391"/>
      <c r="F606" s="4"/>
      <c r="G606" s="4"/>
      <c r="H606" s="4"/>
      <c r="I606" s="4"/>
      <c r="J606" s="4"/>
      <c r="K606" s="4"/>
      <c r="L606" s="4"/>
      <c r="M606" s="4"/>
      <c r="N606" s="4"/>
    </row>
    <row r="607" spans="1:14">
      <c r="A607" s="4"/>
      <c r="B607" s="4"/>
      <c r="C607" s="390"/>
      <c r="D607" s="390"/>
      <c r="E607" s="391"/>
      <c r="F607" s="4"/>
      <c r="G607" s="4"/>
      <c r="H607" s="4"/>
      <c r="I607" s="4"/>
      <c r="J607" s="4"/>
      <c r="K607" s="4"/>
      <c r="L607" s="4"/>
      <c r="M607" s="4"/>
      <c r="N607" s="4"/>
    </row>
    <row r="608" spans="1:14">
      <c r="A608" s="4"/>
      <c r="B608" s="4"/>
      <c r="C608" s="390"/>
      <c r="D608" s="390"/>
      <c r="E608" s="391"/>
      <c r="F608" s="4"/>
      <c r="G608" s="4"/>
      <c r="H608" s="4"/>
      <c r="I608" s="4"/>
      <c r="J608" s="4"/>
      <c r="K608" s="4"/>
      <c r="L608" s="4"/>
      <c r="M608" s="4"/>
      <c r="N608" s="4"/>
    </row>
    <row r="609" spans="1:14">
      <c r="A609" s="4"/>
      <c r="B609" s="4"/>
      <c r="C609" s="390"/>
      <c r="D609" s="390"/>
      <c r="E609" s="391"/>
      <c r="F609" s="4"/>
      <c r="G609" s="4"/>
      <c r="H609" s="4"/>
      <c r="I609" s="4"/>
      <c r="J609" s="4"/>
      <c r="K609" s="4"/>
      <c r="L609" s="4"/>
      <c r="M609" s="4"/>
      <c r="N609" s="4"/>
    </row>
    <row r="610" spans="1:14">
      <c r="A610" s="4"/>
      <c r="B610" s="4"/>
      <c r="C610" s="390"/>
      <c r="D610" s="390"/>
      <c r="E610" s="391"/>
      <c r="F610" s="4"/>
      <c r="G610" s="4"/>
      <c r="H610" s="4"/>
      <c r="I610" s="4"/>
      <c r="J610" s="4"/>
      <c r="K610" s="4"/>
      <c r="L610" s="4"/>
      <c r="M610" s="4"/>
      <c r="N610" s="4"/>
    </row>
    <row r="611" spans="1:14">
      <c r="A611" s="4"/>
      <c r="B611" s="4"/>
      <c r="C611" s="390"/>
      <c r="D611" s="390"/>
      <c r="E611" s="391"/>
      <c r="F611" s="4"/>
      <c r="G611" s="4"/>
      <c r="H611" s="4"/>
      <c r="I611" s="4"/>
      <c r="J611" s="4"/>
      <c r="K611" s="4"/>
      <c r="L611" s="4"/>
      <c r="M611" s="4"/>
      <c r="N611" s="4"/>
    </row>
    <row r="612" spans="1:14">
      <c r="A612" s="4"/>
      <c r="B612" s="4"/>
      <c r="C612" s="390"/>
      <c r="D612" s="390"/>
      <c r="E612" s="391"/>
      <c r="F612" s="4"/>
      <c r="G612" s="4"/>
      <c r="H612" s="4"/>
      <c r="I612" s="4"/>
      <c r="J612" s="4"/>
      <c r="K612" s="4"/>
      <c r="L612" s="4"/>
      <c r="M612" s="4"/>
      <c r="N612" s="4"/>
    </row>
    <row r="613" spans="1:14">
      <c r="A613" s="4"/>
      <c r="B613" s="4"/>
      <c r="C613" s="390"/>
      <c r="D613" s="390"/>
      <c r="E613" s="391"/>
      <c r="F613" s="4"/>
      <c r="G613" s="4"/>
      <c r="H613" s="4"/>
      <c r="I613" s="4"/>
      <c r="J613" s="4"/>
      <c r="K613" s="4"/>
      <c r="L613" s="4"/>
      <c r="M613" s="4"/>
      <c r="N613" s="4"/>
    </row>
    <row r="614" spans="1:14">
      <c r="A614" s="4"/>
      <c r="B614" s="4"/>
      <c r="C614" s="390"/>
      <c r="D614" s="390"/>
      <c r="E614" s="391"/>
      <c r="F614" s="4"/>
      <c r="G614" s="4"/>
      <c r="H614" s="4"/>
      <c r="I614" s="4"/>
      <c r="J614" s="4"/>
      <c r="K614" s="4"/>
      <c r="L614" s="4"/>
      <c r="M614" s="4"/>
      <c r="N614" s="4"/>
    </row>
    <row r="615" spans="1:14">
      <c r="A615" s="4"/>
      <c r="B615" s="4"/>
      <c r="C615" s="390"/>
      <c r="D615" s="390"/>
      <c r="E615" s="391"/>
      <c r="F615" s="4"/>
      <c r="G615" s="4"/>
      <c r="H615" s="4"/>
      <c r="I615" s="4"/>
      <c r="J615" s="4"/>
      <c r="K615" s="4"/>
      <c r="L615" s="4"/>
      <c r="M615" s="4"/>
      <c r="N615" s="4"/>
    </row>
    <row r="616" spans="1:14">
      <c r="A616" s="4"/>
      <c r="B616" s="4"/>
      <c r="C616" s="390"/>
      <c r="D616" s="390"/>
      <c r="E616" s="391"/>
      <c r="F616" s="4"/>
      <c r="G616" s="4"/>
      <c r="H616" s="4"/>
      <c r="I616" s="4"/>
      <c r="J616" s="4"/>
      <c r="K616" s="4"/>
      <c r="L616" s="4"/>
      <c r="M616" s="4"/>
      <c r="N616" s="4"/>
    </row>
    <row r="617" spans="1:14">
      <c r="A617" s="4"/>
      <c r="B617" s="4"/>
      <c r="C617" s="390"/>
      <c r="D617" s="390"/>
      <c r="E617" s="391"/>
      <c r="F617" s="4"/>
      <c r="G617" s="4"/>
      <c r="H617" s="4"/>
      <c r="I617" s="4"/>
      <c r="J617" s="4"/>
      <c r="K617" s="4"/>
      <c r="L617" s="4"/>
      <c r="M617" s="4"/>
      <c r="N617" s="4"/>
    </row>
    <row r="618" spans="1:14">
      <c r="A618" s="4"/>
      <c r="B618" s="4"/>
      <c r="C618" s="390"/>
      <c r="D618" s="390"/>
      <c r="E618" s="391"/>
      <c r="F618" s="4"/>
      <c r="G618" s="4"/>
      <c r="H618" s="4"/>
      <c r="I618" s="4"/>
      <c r="J618" s="4"/>
      <c r="K618" s="4"/>
      <c r="L618" s="4"/>
      <c r="M618" s="4"/>
      <c r="N618" s="4"/>
    </row>
    <row r="619" spans="1:14">
      <c r="A619" s="4"/>
      <c r="B619" s="4"/>
      <c r="C619" s="390"/>
      <c r="D619" s="390"/>
      <c r="E619" s="391"/>
      <c r="F619" s="4"/>
      <c r="G619" s="4"/>
      <c r="H619" s="4"/>
      <c r="I619" s="4"/>
      <c r="J619" s="4"/>
      <c r="K619" s="4"/>
      <c r="L619" s="4"/>
      <c r="M619" s="4"/>
      <c r="N619" s="4"/>
    </row>
    <row r="620" spans="1:14">
      <c r="A620" s="4"/>
      <c r="B620" s="4"/>
      <c r="C620" s="390"/>
      <c r="D620" s="390"/>
      <c r="E620" s="391"/>
      <c r="F620" s="4"/>
      <c r="G620" s="4"/>
      <c r="H620" s="4"/>
      <c r="I620" s="4"/>
      <c r="J620" s="4"/>
      <c r="K620" s="4"/>
      <c r="L620" s="4"/>
      <c r="M620" s="4"/>
      <c r="N620" s="4"/>
    </row>
    <row r="621" spans="1:14">
      <c r="A621" s="4"/>
      <c r="B621" s="4"/>
      <c r="C621" s="390"/>
      <c r="D621" s="390"/>
      <c r="E621" s="391"/>
      <c r="F621" s="4"/>
      <c r="G621" s="4"/>
      <c r="H621" s="4"/>
      <c r="I621" s="4"/>
      <c r="J621" s="4"/>
      <c r="K621" s="4"/>
      <c r="L621" s="4"/>
      <c r="M621" s="4"/>
      <c r="N621" s="4"/>
    </row>
    <row r="622" spans="1:14">
      <c r="A622" s="4"/>
      <c r="B622" s="4"/>
      <c r="C622" s="390"/>
      <c r="D622" s="390"/>
      <c r="E622" s="391"/>
      <c r="F622" s="4"/>
      <c r="G622" s="4"/>
      <c r="H622" s="4"/>
      <c r="I622" s="4"/>
      <c r="J622" s="4"/>
      <c r="K622" s="4"/>
      <c r="L622" s="4"/>
      <c r="M622" s="4"/>
      <c r="N622" s="4"/>
    </row>
    <row r="623" spans="1:14">
      <c r="A623" s="4"/>
      <c r="B623" s="4"/>
      <c r="C623" s="390"/>
      <c r="D623" s="390"/>
      <c r="E623" s="391"/>
      <c r="F623" s="4"/>
      <c r="G623" s="4"/>
      <c r="H623" s="4"/>
      <c r="I623" s="4"/>
      <c r="J623" s="4"/>
      <c r="K623" s="4"/>
      <c r="L623" s="4"/>
      <c r="M623" s="4"/>
      <c r="N623" s="4"/>
    </row>
    <row r="624" spans="1:14">
      <c r="A624" s="4"/>
      <c r="B624" s="4"/>
      <c r="C624" s="390"/>
      <c r="D624" s="390"/>
      <c r="E624" s="391"/>
      <c r="F624" s="4"/>
      <c r="G624" s="4"/>
      <c r="H624" s="4"/>
      <c r="I624" s="4"/>
      <c r="J624" s="4"/>
      <c r="K624" s="4"/>
      <c r="L624" s="4"/>
      <c r="M624" s="4"/>
      <c r="N624" s="4"/>
    </row>
    <row r="625" spans="1:14">
      <c r="A625" s="4"/>
      <c r="B625" s="4"/>
      <c r="C625" s="390"/>
      <c r="D625" s="390"/>
      <c r="E625" s="391"/>
      <c r="F625" s="4"/>
      <c r="G625" s="4"/>
      <c r="H625" s="4"/>
      <c r="I625" s="4"/>
      <c r="J625" s="4"/>
      <c r="K625" s="4"/>
      <c r="L625" s="4"/>
      <c r="M625" s="4"/>
      <c r="N625" s="4"/>
    </row>
    <row r="626" spans="1:14">
      <c r="A626" s="4"/>
      <c r="B626" s="4"/>
      <c r="C626" s="390"/>
      <c r="D626" s="390"/>
      <c r="E626" s="391"/>
      <c r="F626" s="4"/>
      <c r="G626" s="4"/>
      <c r="H626" s="4"/>
      <c r="I626" s="4"/>
      <c r="J626" s="4"/>
      <c r="K626" s="4"/>
      <c r="L626" s="4"/>
      <c r="M626" s="4"/>
      <c r="N626" s="4"/>
    </row>
    <row r="627" spans="1:14">
      <c r="A627" s="4"/>
      <c r="B627" s="4"/>
      <c r="C627" s="390"/>
      <c r="D627" s="390"/>
      <c r="E627" s="391"/>
      <c r="F627" s="4"/>
      <c r="G627" s="4"/>
      <c r="H627" s="4"/>
      <c r="I627" s="4"/>
      <c r="J627" s="4"/>
      <c r="K627" s="4"/>
      <c r="L627" s="4"/>
      <c r="M627" s="4"/>
      <c r="N627" s="4"/>
    </row>
    <row r="628" spans="1:14">
      <c r="A628" s="4"/>
      <c r="B628" s="4"/>
      <c r="C628" s="390"/>
      <c r="D628" s="390"/>
      <c r="E628" s="391"/>
      <c r="F628" s="4"/>
      <c r="G628" s="4"/>
      <c r="H628" s="4"/>
      <c r="I628" s="4"/>
      <c r="J628" s="4"/>
      <c r="K628" s="4"/>
      <c r="L628" s="4"/>
      <c r="M628" s="4"/>
      <c r="N628" s="4"/>
    </row>
    <row r="629" spans="1:14">
      <c r="A629" s="4"/>
      <c r="B629" s="4"/>
      <c r="C629" s="390"/>
      <c r="D629" s="390"/>
      <c r="E629" s="391"/>
      <c r="F629" s="4"/>
      <c r="G629" s="4"/>
      <c r="H629" s="4"/>
      <c r="I629" s="4"/>
      <c r="J629" s="4"/>
      <c r="K629" s="4"/>
      <c r="L629" s="4"/>
      <c r="M629" s="4"/>
      <c r="N629" s="4"/>
    </row>
    <row r="630" spans="1:14">
      <c r="A630" s="4"/>
      <c r="B630" s="4"/>
      <c r="C630" s="390"/>
      <c r="D630" s="390"/>
      <c r="E630" s="391"/>
      <c r="F630" s="4"/>
      <c r="G630" s="4"/>
      <c r="H630" s="4"/>
      <c r="I630" s="4"/>
      <c r="J630" s="4"/>
      <c r="K630" s="4"/>
      <c r="L630" s="4"/>
      <c r="M630" s="4"/>
      <c r="N630" s="4"/>
    </row>
    <row r="631" spans="1:14">
      <c r="A631" s="4"/>
      <c r="B631" s="4"/>
      <c r="C631" s="390"/>
      <c r="D631" s="390"/>
      <c r="E631" s="391"/>
      <c r="F631" s="4"/>
      <c r="G631" s="4"/>
      <c r="H631" s="4"/>
      <c r="I631" s="4"/>
      <c r="J631" s="4"/>
      <c r="K631" s="4"/>
      <c r="L631" s="4"/>
      <c r="M631" s="4"/>
      <c r="N631" s="4"/>
    </row>
    <row r="632" spans="1:14">
      <c r="A632" s="4"/>
      <c r="B632" s="4"/>
      <c r="C632" s="390"/>
      <c r="D632" s="390"/>
      <c r="E632" s="391"/>
      <c r="F632" s="4"/>
      <c r="G632" s="4"/>
      <c r="H632" s="4"/>
      <c r="I632" s="4"/>
      <c r="J632" s="4"/>
      <c r="K632" s="4"/>
      <c r="L632" s="4"/>
      <c r="M632" s="4"/>
      <c r="N632" s="4"/>
    </row>
    <row r="633" spans="1:14">
      <c r="A633" s="4"/>
      <c r="B633" s="4"/>
      <c r="C633" s="390"/>
      <c r="D633" s="390"/>
      <c r="E633" s="391"/>
      <c r="F633" s="4"/>
      <c r="G633" s="4"/>
      <c r="H633" s="4"/>
      <c r="I633" s="4"/>
      <c r="J633" s="4"/>
      <c r="K633" s="4"/>
      <c r="L633" s="4"/>
      <c r="M633" s="4"/>
      <c r="N633" s="4"/>
    </row>
    <row r="634" spans="1:14">
      <c r="A634" s="4"/>
      <c r="B634" s="4"/>
      <c r="C634" s="390"/>
      <c r="D634" s="390"/>
      <c r="E634" s="391"/>
      <c r="F634" s="4"/>
      <c r="G634" s="4"/>
      <c r="H634" s="4"/>
      <c r="I634" s="4"/>
      <c r="J634" s="4"/>
      <c r="K634" s="4"/>
      <c r="L634" s="4"/>
      <c r="M634" s="4"/>
      <c r="N634" s="4"/>
    </row>
    <row r="635" spans="1:14">
      <c r="A635" s="4"/>
      <c r="B635" s="4"/>
      <c r="C635" s="390"/>
      <c r="D635" s="390"/>
      <c r="E635" s="391"/>
      <c r="F635" s="4"/>
      <c r="G635" s="4"/>
      <c r="H635" s="4"/>
      <c r="I635" s="4"/>
      <c r="J635" s="4"/>
      <c r="K635" s="4"/>
      <c r="L635" s="4"/>
      <c r="M635" s="4"/>
      <c r="N635" s="4"/>
    </row>
    <row r="636" spans="1:14">
      <c r="A636" s="4"/>
      <c r="B636" s="4"/>
      <c r="C636" s="390"/>
      <c r="D636" s="390"/>
      <c r="E636" s="391"/>
      <c r="F636" s="4"/>
      <c r="G636" s="4"/>
      <c r="H636" s="4"/>
      <c r="I636" s="4"/>
      <c r="J636" s="4"/>
      <c r="K636" s="4"/>
      <c r="L636" s="4"/>
      <c r="M636" s="4"/>
      <c r="N636" s="4"/>
    </row>
    <row r="637" spans="1:14">
      <c r="A637" s="4"/>
      <c r="B637" s="4"/>
      <c r="C637" s="390"/>
      <c r="D637" s="390"/>
      <c r="E637" s="391"/>
      <c r="F637" s="4"/>
      <c r="G637" s="4"/>
      <c r="H637" s="4"/>
      <c r="I637" s="4"/>
      <c r="J637" s="4"/>
      <c r="K637" s="4"/>
      <c r="L637" s="4"/>
      <c r="M637" s="4"/>
      <c r="N637" s="4"/>
    </row>
    <row r="638" spans="1:14">
      <c r="A638" s="4"/>
      <c r="B638" s="4"/>
      <c r="C638" s="390"/>
      <c r="D638" s="390"/>
      <c r="E638" s="391"/>
      <c r="F638" s="4"/>
      <c r="G638" s="4"/>
      <c r="H638" s="4"/>
      <c r="I638" s="4"/>
      <c r="J638" s="4"/>
      <c r="K638" s="4"/>
      <c r="L638" s="4"/>
      <c r="M638" s="4"/>
      <c r="N638" s="4"/>
    </row>
    <row r="639" spans="1:14">
      <c r="A639" s="4"/>
      <c r="B639" s="4"/>
      <c r="C639" s="390"/>
      <c r="D639" s="390"/>
      <c r="E639" s="391"/>
      <c r="F639" s="4"/>
      <c r="G639" s="4"/>
      <c r="H639" s="4"/>
      <c r="I639" s="4"/>
      <c r="J639" s="4"/>
      <c r="K639" s="4"/>
      <c r="L639" s="4"/>
      <c r="M639" s="4"/>
      <c r="N639" s="4"/>
    </row>
    <row r="640" spans="1:14">
      <c r="A640" s="4"/>
      <c r="B640" s="4"/>
      <c r="C640" s="390"/>
      <c r="D640" s="390"/>
      <c r="E640" s="391"/>
      <c r="F640" s="4"/>
      <c r="G640" s="4"/>
      <c r="H640" s="4"/>
      <c r="I640" s="4"/>
      <c r="J640" s="4"/>
      <c r="K640" s="4"/>
      <c r="L640" s="4"/>
      <c r="M640" s="4"/>
      <c r="N640" s="4"/>
    </row>
    <row r="641" spans="1:14">
      <c r="A641" s="4"/>
      <c r="B641" s="4"/>
      <c r="C641" s="390"/>
      <c r="D641" s="390"/>
      <c r="E641" s="391"/>
      <c r="F641" s="4"/>
      <c r="G641" s="4"/>
      <c r="H641" s="4"/>
      <c r="I641" s="4"/>
      <c r="J641" s="4"/>
      <c r="K641" s="4"/>
      <c r="L641" s="4"/>
      <c r="M641" s="4"/>
      <c r="N641" s="4"/>
    </row>
    <row r="642" spans="1:14">
      <c r="A642" s="4"/>
      <c r="B642" s="4"/>
      <c r="C642" s="390"/>
      <c r="D642" s="390"/>
      <c r="E642" s="391"/>
      <c r="F642" s="4"/>
      <c r="G642" s="4"/>
      <c r="H642" s="4"/>
      <c r="I642" s="4"/>
      <c r="J642" s="4"/>
      <c r="K642" s="4"/>
      <c r="L642" s="4"/>
      <c r="M642" s="4"/>
      <c r="N642" s="4"/>
    </row>
    <row r="643" spans="1:14">
      <c r="A643" s="4"/>
      <c r="B643" s="4"/>
      <c r="C643" s="390"/>
      <c r="D643" s="390"/>
      <c r="E643" s="391"/>
      <c r="F643" s="4"/>
      <c r="G643" s="4"/>
      <c r="H643" s="4"/>
      <c r="I643" s="4"/>
      <c r="J643" s="4"/>
      <c r="K643" s="4"/>
      <c r="L643" s="4"/>
      <c r="M643" s="4"/>
      <c r="N643" s="4"/>
    </row>
    <row r="644" spans="1:14">
      <c r="A644" s="4"/>
      <c r="B644" s="4"/>
      <c r="C644" s="390"/>
      <c r="D644" s="390"/>
      <c r="E644" s="391"/>
      <c r="F644" s="4"/>
      <c r="G644" s="4"/>
      <c r="H644" s="4"/>
      <c r="I644" s="4"/>
      <c r="J644" s="4"/>
      <c r="K644" s="4"/>
      <c r="L644" s="4"/>
      <c r="M644" s="4"/>
      <c r="N644" s="4"/>
    </row>
    <row r="645" spans="1:14">
      <c r="A645" s="4"/>
      <c r="B645" s="4"/>
      <c r="C645" s="390"/>
      <c r="D645" s="390"/>
      <c r="E645" s="391"/>
      <c r="F645" s="4"/>
      <c r="G645" s="4"/>
      <c r="H645" s="4"/>
      <c r="I645" s="4"/>
      <c r="J645" s="4"/>
      <c r="K645" s="4"/>
      <c r="L645" s="4"/>
      <c r="M645" s="4"/>
      <c r="N645" s="4"/>
    </row>
    <row r="646" spans="1:14">
      <c r="A646" s="4"/>
      <c r="B646" s="4"/>
      <c r="C646" s="390"/>
      <c r="D646" s="390"/>
      <c r="E646" s="391"/>
      <c r="F646" s="4"/>
      <c r="G646" s="4"/>
      <c r="H646" s="4"/>
      <c r="I646" s="4"/>
      <c r="J646" s="4"/>
      <c r="K646" s="4"/>
      <c r="L646" s="4"/>
      <c r="M646" s="4"/>
      <c r="N646" s="4"/>
    </row>
    <row r="647" spans="1:14">
      <c r="A647" s="4"/>
      <c r="B647" s="4"/>
      <c r="C647" s="390"/>
      <c r="D647" s="390"/>
      <c r="E647" s="391"/>
      <c r="F647" s="4"/>
      <c r="G647" s="4"/>
      <c r="H647" s="4"/>
      <c r="I647" s="4"/>
      <c r="J647" s="4"/>
      <c r="K647" s="4"/>
      <c r="L647" s="4"/>
      <c r="M647" s="4"/>
      <c r="N647" s="4"/>
    </row>
    <row r="648" spans="1:14">
      <c r="A648" s="4"/>
      <c r="B648" s="4"/>
      <c r="C648" s="390"/>
      <c r="D648" s="390"/>
      <c r="E648" s="391"/>
      <c r="F648" s="4"/>
      <c r="G648" s="4"/>
      <c r="H648" s="4"/>
      <c r="I648" s="4"/>
      <c r="J648" s="4"/>
      <c r="K648" s="4"/>
      <c r="L648" s="4"/>
      <c r="M648" s="4"/>
      <c r="N648" s="4"/>
    </row>
    <row r="649" spans="1:14">
      <c r="A649" s="4"/>
      <c r="B649" s="4"/>
      <c r="C649" s="390"/>
      <c r="D649" s="390"/>
      <c r="E649" s="391"/>
      <c r="F649" s="4"/>
      <c r="G649" s="4"/>
      <c r="H649" s="4"/>
      <c r="I649" s="4"/>
      <c r="J649" s="4"/>
      <c r="K649" s="4"/>
      <c r="L649" s="4"/>
      <c r="M649" s="4"/>
      <c r="N649" s="4"/>
    </row>
    <row r="650" spans="1:14">
      <c r="A650" s="4"/>
      <c r="B650" s="4"/>
      <c r="C650" s="390"/>
      <c r="D650" s="390"/>
      <c r="E650" s="391"/>
      <c r="F650" s="4"/>
      <c r="G650" s="4"/>
      <c r="H650" s="4"/>
      <c r="I650" s="4"/>
      <c r="J650" s="4"/>
      <c r="K650" s="4"/>
      <c r="L650" s="4"/>
      <c r="M650" s="4"/>
      <c r="N650" s="4"/>
    </row>
    <row r="651" spans="1:14">
      <c r="A651" s="4"/>
      <c r="B651" s="4"/>
      <c r="C651" s="390"/>
      <c r="D651" s="390"/>
      <c r="E651" s="391"/>
      <c r="F651" s="4"/>
      <c r="G651" s="4"/>
      <c r="H651" s="4"/>
      <c r="I651" s="4"/>
      <c r="J651" s="4"/>
      <c r="K651" s="4"/>
      <c r="L651" s="4"/>
      <c r="M651" s="4"/>
      <c r="N651" s="4"/>
    </row>
    <row r="652" spans="1:14">
      <c r="A652" s="4"/>
      <c r="B652" s="4"/>
      <c r="C652" s="390"/>
      <c r="D652" s="390"/>
      <c r="E652" s="391"/>
      <c r="F652" s="4"/>
      <c r="G652" s="4"/>
      <c r="H652" s="4"/>
      <c r="I652" s="4"/>
      <c r="J652" s="4"/>
      <c r="K652" s="4"/>
      <c r="L652" s="4"/>
      <c r="M652" s="4"/>
      <c r="N652" s="4"/>
    </row>
    <row r="653" spans="1:14">
      <c r="A653" s="4"/>
      <c r="B653" s="4"/>
      <c r="C653" s="390"/>
      <c r="D653" s="390"/>
      <c r="E653" s="391"/>
      <c r="F653" s="4"/>
      <c r="G653" s="4"/>
      <c r="H653" s="4"/>
      <c r="I653" s="4"/>
      <c r="J653" s="4"/>
      <c r="K653" s="4"/>
      <c r="L653" s="4"/>
      <c r="M653" s="4"/>
      <c r="N653" s="4"/>
    </row>
    <row r="654" spans="1:14">
      <c r="A654" s="4"/>
      <c r="B654" s="4"/>
      <c r="C654" s="390"/>
      <c r="D654" s="390"/>
      <c r="E654" s="391"/>
      <c r="F654" s="4"/>
      <c r="G654" s="4"/>
      <c r="H654" s="4"/>
      <c r="I654" s="4"/>
      <c r="J654" s="4"/>
      <c r="K654" s="4"/>
      <c r="L654" s="4"/>
      <c r="M654" s="4"/>
      <c r="N654" s="4"/>
    </row>
    <row r="655" spans="1:14">
      <c r="A655" s="4"/>
      <c r="B655" s="4"/>
      <c r="C655" s="390"/>
      <c r="D655" s="390"/>
      <c r="E655" s="391"/>
      <c r="F655" s="4"/>
      <c r="G655" s="4"/>
      <c r="H655" s="4"/>
      <c r="I655" s="4"/>
      <c r="J655" s="4"/>
      <c r="K655" s="4"/>
      <c r="L655" s="4"/>
      <c r="M655" s="4"/>
      <c r="N655" s="4"/>
    </row>
    <row r="656" spans="1:14">
      <c r="A656" s="4"/>
      <c r="B656" s="4"/>
      <c r="C656" s="390"/>
      <c r="D656" s="390"/>
      <c r="E656" s="391"/>
      <c r="F656" s="4"/>
      <c r="G656" s="4"/>
      <c r="H656" s="4"/>
      <c r="I656" s="4"/>
      <c r="J656" s="4"/>
      <c r="K656" s="4"/>
      <c r="L656" s="4"/>
      <c r="M656" s="4"/>
      <c r="N656" s="4"/>
    </row>
    <row r="657" spans="1:14">
      <c r="A657" s="4"/>
      <c r="B657" s="4"/>
      <c r="C657" s="390"/>
      <c r="D657" s="390"/>
      <c r="E657" s="391"/>
      <c r="F657" s="4"/>
      <c r="G657" s="4"/>
      <c r="H657" s="4"/>
      <c r="I657" s="4"/>
      <c r="J657" s="4"/>
      <c r="K657" s="4"/>
      <c r="L657" s="4"/>
      <c r="M657" s="4"/>
      <c r="N657" s="4"/>
    </row>
    <row r="658" spans="1:14">
      <c r="A658" s="4"/>
      <c r="B658" s="4"/>
      <c r="C658" s="390"/>
      <c r="D658" s="390"/>
      <c r="E658" s="391"/>
      <c r="F658" s="4"/>
      <c r="G658" s="4"/>
      <c r="H658" s="4"/>
      <c r="I658" s="4"/>
      <c r="J658" s="4"/>
      <c r="K658" s="4"/>
      <c r="L658" s="4"/>
      <c r="M658" s="4"/>
      <c r="N658" s="4"/>
    </row>
    <row r="659" spans="1:14">
      <c r="A659" s="4"/>
      <c r="B659" s="4"/>
      <c r="C659" s="390"/>
      <c r="D659" s="390"/>
      <c r="E659" s="391"/>
      <c r="F659" s="4"/>
      <c r="G659" s="4"/>
      <c r="H659" s="4"/>
      <c r="I659" s="4"/>
      <c r="J659" s="4"/>
      <c r="K659" s="4"/>
      <c r="L659" s="4"/>
      <c r="M659" s="4"/>
      <c r="N659" s="4"/>
    </row>
    <row r="660" spans="1:14">
      <c r="A660" s="4"/>
      <c r="B660" s="4"/>
      <c r="C660" s="390"/>
      <c r="D660" s="390"/>
      <c r="E660" s="391"/>
      <c r="F660" s="4"/>
      <c r="G660" s="4"/>
      <c r="H660" s="4"/>
      <c r="I660" s="4"/>
      <c r="J660" s="4"/>
      <c r="K660" s="4"/>
      <c r="L660" s="4"/>
      <c r="M660" s="4"/>
      <c r="N660" s="4"/>
    </row>
    <row r="661" spans="1:14">
      <c r="A661" s="4"/>
      <c r="B661" s="4"/>
      <c r="C661" s="390"/>
      <c r="D661" s="390"/>
      <c r="E661" s="391"/>
      <c r="F661" s="4"/>
      <c r="G661" s="4"/>
      <c r="H661" s="4"/>
      <c r="I661" s="4"/>
      <c r="J661" s="4"/>
      <c r="K661" s="4"/>
      <c r="L661" s="4"/>
      <c r="M661" s="4"/>
      <c r="N661" s="4"/>
    </row>
    <row r="662" spans="1:14">
      <c r="A662" s="4"/>
      <c r="B662" s="4"/>
      <c r="C662" s="390"/>
      <c r="D662" s="390"/>
      <c r="E662" s="391"/>
      <c r="F662" s="4"/>
      <c r="G662" s="4"/>
      <c r="H662" s="4"/>
      <c r="I662" s="4"/>
      <c r="J662" s="4"/>
      <c r="K662" s="4"/>
      <c r="L662" s="4"/>
      <c r="M662" s="4"/>
      <c r="N662" s="4"/>
    </row>
    <row r="663" spans="1:14">
      <c r="A663" s="4"/>
      <c r="B663" s="4"/>
      <c r="C663" s="390"/>
      <c r="D663" s="390"/>
      <c r="E663" s="391"/>
      <c r="F663" s="4"/>
      <c r="G663" s="4"/>
      <c r="H663" s="4"/>
      <c r="I663" s="4"/>
      <c r="J663" s="4"/>
      <c r="K663" s="4"/>
      <c r="L663" s="4"/>
      <c r="M663" s="4"/>
      <c r="N663" s="4"/>
    </row>
    <row r="664" spans="1:14">
      <c r="A664" s="4"/>
      <c r="B664" s="4"/>
      <c r="C664" s="390"/>
      <c r="D664" s="390"/>
      <c r="E664" s="391"/>
      <c r="F664" s="4"/>
      <c r="G664" s="4"/>
      <c r="H664" s="4"/>
      <c r="I664" s="4"/>
      <c r="J664" s="4"/>
      <c r="K664" s="4"/>
      <c r="L664" s="4"/>
      <c r="M664" s="4"/>
      <c r="N664" s="4"/>
    </row>
    <row r="665" spans="1:14">
      <c r="A665" s="4"/>
      <c r="B665" s="4"/>
      <c r="C665" s="390"/>
      <c r="D665" s="390"/>
      <c r="E665" s="391"/>
      <c r="F665" s="4"/>
      <c r="G665" s="4"/>
      <c r="H665" s="4"/>
      <c r="I665" s="4"/>
      <c r="J665" s="4"/>
      <c r="K665" s="4"/>
      <c r="L665" s="4"/>
      <c r="M665" s="4"/>
      <c r="N665" s="4"/>
    </row>
    <row r="666" spans="1:14">
      <c r="A666" s="4"/>
      <c r="B666" s="4"/>
      <c r="C666" s="390"/>
      <c r="D666" s="390"/>
      <c r="E666" s="391"/>
      <c r="F666" s="4"/>
      <c r="G666" s="4"/>
      <c r="H666" s="4"/>
      <c r="I666" s="4"/>
      <c r="J666" s="4"/>
      <c r="K666" s="4"/>
      <c r="L666" s="4"/>
      <c r="M666" s="4"/>
      <c r="N666" s="4"/>
    </row>
    <row r="667" spans="1:14">
      <c r="A667" s="4"/>
      <c r="B667" s="4"/>
      <c r="C667" s="390"/>
      <c r="D667" s="390"/>
      <c r="E667" s="391"/>
      <c r="F667" s="4"/>
      <c r="G667" s="4"/>
      <c r="H667" s="4"/>
      <c r="I667" s="4"/>
      <c r="J667" s="4"/>
      <c r="K667" s="4"/>
      <c r="L667" s="4"/>
      <c r="M667" s="4"/>
      <c r="N667" s="4"/>
    </row>
    <row r="668" spans="1:14">
      <c r="A668" s="4"/>
      <c r="B668" s="4"/>
      <c r="C668" s="390"/>
      <c r="D668" s="390"/>
      <c r="E668" s="391"/>
      <c r="F668" s="4"/>
      <c r="G668" s="4"/>
      <c r="H668" s="4"/>
      <c r="I668" s="4"/>
      <c r="J668" s="4"/>
      <c r="K668" s="4"/>
      <c r="L668" s="4"/>
      <c r="M668" s="4"/>
      <c r="N668" s="4"/>
    </row>
    <row r="669" spans="1:14">
      <c r="A669" s="4"/>
      <c r="B669" s="4"/>
      <c r="C669" s="390"/>
      <c r="D669" s="390"/>
      <c r="E669" s="391"/>
      <c r="F669" s="4"/>
      <c r="G669" s="4"/>
      <c r="H669" s="4"/>
      <c r="I669" s="4"/>
      <c r="J669" s="4"/>
      <c r="K669" s="4"/>
      <c r="L669" s="4"/>
      <c r="M669" s="4"/>
      <c r="N669" s="4"/>
    </row>
    <row r="670" spans="1:14">
      <c r="A670" s="4"/>
      <c r="B670" s="4"/>
      <c r="C670" s="390"/>
      <c r="D670" s="390"/>
      <c r="E670" s="391"/>
      <c r="F670" s="4"/>
      <c r="G670" s="4"/>
      <c r="H670" s="4"/>
      <c r="I670" s="4"/>
      <c r="J670" s="4"/>
      <c r="K670" s="4"/>
      <c r="L670" s="4"/>
      <c r="M670" s="4"/>
      <c r="N670" s="4"/>
    </row>
    <row r="671" spans="1:14">
      <c r="A671" s="4"/>
      <c r="B671" s="4"/>
      <c r="C671" s="390"/>
      <c r="D671" s="390"/>
      <c r="E671" s="391"/>
      <c r="F671" s="4"/>
      <c r="G671" s="4"/>
      <c r="H671" s="4"/>
      <c r="I671" s="4"/>
      <c r="J671" s="4"/>
      <c r="K671" s="4"/>
      <c r="L671" s="4"/>
      <c r="M671" s="4"/>
      <c r="N671" s="4"/>
    </row>
    <row r="672" spans="1:14">
      <c r="A672" s="4"/>
      <c r="B672" s="4"/>
      <c r="C672" s="390"/>
      <c r="D672" s="390"/>
      <c r="E672" s="391"/>
      <c r="F672" s="4"/>
      <c r="G672" s="4"/>
      <c r="H672" s="4"/>
      <c r="I672" s="4"/>
      <c r="J672" s="4"/>
      <c r="K672" s="4"/>
      <c r="L672" s="4"/>
      <c r="M672" s="4"/>
      <c r="N672" s="4"/>
    </row>
    <row r="673" spans="1:14">
      <c r="A673" s="4"/>
      <c r="B673" s="4"/>
      <c r="C673" s="390"/>
      <c r="D673" s="390"/>
      <c r="E673" s="391"/>
      <c r="F673" s="4"/>
      <c r="G673" s="4"/>
      <c r="H673" s="4"/>
      <c r="I673" s="4"/>
      <c r="J673" s="4"/>
      <c r="K673" s="4"/>
      <c r="L673" s="4"/>
      <c r="M673" s="4"/>
      <c r="N673" s="4"/>
    </row>
    <row r="674" spans="1:14">
      <c r="A674" s="4"/>
      <c r="B674" s="4"/>
      <c r="C674" s="390"/>
      <c r="D674" s="390"/>
      <c r="E674" s="391"/>
      <c r="F674" s="4"/>
      <c r="G674" s="4"/>
      <c r="H674" s="4"/>
      <c r="I674" s="4"/>
      <c r="J674" s="4"/>
      <c r="K674" s="4"/>
      <c r="L674" s="4"/>
      <c r="M674" s="4"/>
      <c r="N674" s="4"/>
    </row>
    <row r="675" spans="1:14">
      <c r="A675" s="4"/>
      <c r="B675" s="4"/>
      <c r="C675" s="390"/>
      <c r="D675" s="390"/>
      <c r="E675" s="391"/>
      <c r="F675" s="4"/>
      <c r="G675" s="4"/>
      <c r="H675" s="4"/>
      <c r="I675" s="4"/>
      <c r="J675" s="4"/>
      <c r="K675" s="4"/>
      <c r="L675" s="4"/>
      <c r="M675" s="4"/>
      <c r="N675" s="4"/>
    </row>
    <row r="676" spans="1:14">
      <c r="A676" s="4"/>
      <c r="B676" s="4"/>
      <c r="C676" s="390"/>
      <c r="D676" s="390"/>
      <c r="E676" s="391"/>
      <c r="F676" s="4"/>
      <c r="G676" s="4"/>
      <c r="H676" s="4"/>
      <c r="I676" s="4"/>
      <c r="J676" s="4"/>
      <c r="K676" s="4"/>
      <c r="L676" s="4"/>
      <c r="M676" s="4"/>
      <c r="N676" s="4"/>
    </row>
    <row r="677" spans="1:14">
      <c r="A677" s="4"/>
      <c r="B677" s="4"/>
      <c r="C677" s="390"/>
      <c r="D677" s="390"/>
      <c r="E677" s="391"/>
      <c r="F677" s="4"/>
      <c r="G677" s="4"/>
      <c r="H677" s="4"/>
      <c r="I677" s="4"/>
      <c r="J677" s="4"/>
      <c r="K677" s="4"/>
      <c r="L677" s="4"/>
      <c r="M677" s="4"/>
      <c r="N677" s="4"/>
    </row>
    <row r="678" spans="1:14">
      <c r="A678" s="4"/>
      <c r="B678" s="4"/>
      <c r="C678" s="390"/>
      <c r="D678" s="390"/>
      <c r="E678" s="391"/>
      <c r="F678" s="4"/>
      <c r="G678" s="4"/>
      <c r="H678" s="4"/>
      <c r="I678" s="4"/>
      <c r="J678" s="4"/>
      <c r="K678" s="4"/>
      <c r="L678" s="4"/>
      <c r="M678" s="4"/>
      <c r="N678" s="4"/>
    </row>
    <row r="679" spans="1:14">
      <c r="A679" s="4"/>
      <c r="B679" s="4"/>
      <c r="C679" s="390"/>
      <c r="D679" s="390"/>
      <c r="E679" s="391"/>
      <c r="F679" s="4"/>
      <c r="G679" s="4"/>
      <c r="H679" s="4"/>
      <c r="I679" s="4"/>
      <c r="J679" s="4"/>
      <c r="K679" s="4"/>
      <c r="L679" s="4"/>
      <c r="M679" s="4"/>
      <c r="N679" s="4"/>
    </row>
    <row r="680" spans="1:14">
      <c r="A680" s="4"/>
      <c r="B680" s="4"/>
      <c r="C680" s="390"/>
      <c r="D680" s="390"/>
      <c r="E680" s="391"/>
      <c r="F680" s="4"/>
      <c r="G680" s="4"/>
      <c r="H680" s="4"/>
      <c r="I680" s="4"/>
      <c r="J680" s="4"/>
      <c r="K680" s="4"/>
      <c r="L680" s="4"/>
      <c r="M680" s="4"/>
      <c r="N680" s="4"/>
    </row>
    <row r="681" spans="1:14">
      <c r="A681" s="4"/>
      <c r="B681" s="4"/>
      <c r="C681" s="390"/>
      <c r="D681" s="390"/>
      <c r="E681" s="391"/>
      <c r="F681" s="4"/>
      <c r="G681" s="4"/>
      <c r="H681" s="4"/>
      <c r="I681" s="4"/>
      <c r="J681" s="4"/>
      <c r="K681" s="4"/>
      <c r="L681" s="4"/>
      <c r="M681" s="4"/>
      <c r="N681" s="4"/>
    </row>
    <row r="682" spans="1:14">
      <c r="A682" s="4"/>
      <c r="B682" s="4"/>
      <c r="C682" s="390"/>
      <c r="D682" s="390"/>
      <c r="E682" s="391"/>
      <c r="F682" s="4"/>
      <c r="G682" s="4"/>
      <c r="H682" s="4"/>
      <c r="I682" s="4"/>
      <c r="J682" s="4"/>
      <c r="K682" s="4"/>
      <c r="L682" s="4"/>
      <c r="M682" s="4"/>
      <c r="N682" s="4"/>
    </row>
    <row r="683" spans="1:14">
      <c r="A683" s="4"/>
      <c r="B683" s="4"/>
      <c r="C683" s="390"/>
      <c r="D683" s="390"/>
      <c r="E683" s="391"/>
      <c r="F683" s="4"/>
      <c r="G683" s="4"/>
      <c r="H683" s="4"/>
      <c r="I683" s="4"/>
      <c r="J683" s="4"/>
      <c r="K683" s="4"/>
      <c r="L683" s="4"/>
      <c r="M683" s="4"/>
      <c r="N683" s="4"/>
    </row>
    <row r="684" spans="1:14">
      <c r="A684" s="4"/>
      <c r="B684" s="4"/>
      <c r="C684" s="390"/>
      <c r="D684" s="390"/>
      <c r="E684" s="391"/>
      <c r="F684" s="4"/>
      <c r="G684" s="4"/>
      <c r="H684" s="4"/>
      <c r="I684" s="4"/>
      <c r="J684" s="4"/>
      <c r="K684" s="4"/>
      <c r="L684" s="4"/>
      <c r="M684" s="4"/>
      <c r="N684" s="4"/>
    </row>
    <row r="685" spans="1:14">
      <c r="A685" s="4"/>
      <c r="B685" s="4"/>
      <c r="C685" s="390"/>
      <c r="D685" s="390"/>
      <c r="E685" s="391"/>
      <c r="F685" s="4"/>
      <c r="G685" s="4"/>
      <c r="H685" s="4"/>
      <c r="I685" s="4"/>
      <c r="J685" s="4"/>
      <c r="K685" s="4"/>
      <c r="L685" s="4"/>
      <c r="M685" s="4"/>
      <c r="N685" s="4"/>
    </row>
    <row r="686" spans="1:14">
      <c r="A686" s="4"/>
      <c r="B686" s="4"/>
      <c r="C686" s="390"/>
      <c r="D686" s="390"/>
      <c r="E686" s="391"/>
      <c r="F686" s="4"/>
      <c r="G686" s="4"/>
      <c r="H686" s="4"/>
      <c r="I686" s="4"/>
      <c r="J686" s="4"/>
      <c r="K686" s="4"/>
      <c r="L686" s="4"/>
      <c r="M686" s="4"/>
      <c r="N686" s="4"/>
    </row>
    <row r="687" spans="1:14">
      <c r="A687" s="4"/>
      <c r="B687" s="4"/>
      <c r="C687" s="390"/>
      <c r="D687" s="390"/>
      <c r="E687" s="391"/>
      <c r="F687" s="4"/>
      <c r="G687" s="4"/>
      <c r="H687" s="4"/>
      <c r="I687" s="4"/>
      <c r="J687" s="4"/>
      <c r="K687" s="4"/>
      <c r="L687" s="4"/>
      <c r="M687" s="4"/>
      <c r="N687" s="4"/>
    </row>
    <row r="688" spans="1:14">
      <c r="A688" s="4"/>
      <c r="B688" s="4"/>
      <c r="C688" s="390"/>
      <c r="D688" s="390"/>
      <c r="E688" s="391"/>
      <c r="F688" s="4"/>
      <c r="G688" s="4"/>
      <c r="H688" s="4"/>
      <c r="I688" s="4"/>
      <c r="J688" s="4"/>
      <c r="K688" s="4"/>
      <c r="L688" s="4"/>
      <c r="M688" s="4"/>
      <c r="N688" s="4"/>
    </row>
    <row r="689" spans="1:14">
      <c r="A689" s="4"/>
      <c r="B689" s="4"/>
      <c r="C689" s="390"/>
      <c r="D689" s="390"/>
      <c r="E689" s="391"/>
      <c r="F689" s="4"/>
      <c r="G689" s="4"/>
      <c r="H689" s="4"/>
      <c r="I689" s="4"/>
      <c r="J689" s="4"/>
      <c r="K689" s="4"/>
      <c r="L689" s="4"/>
      <c r="M689" s="4"/>
      <c r="N689" s="4"/>
    </row>
    <row r="690" spans="1:14">
      <c r="A690" s="4"/>
      <c r="B690" s="4"/>
      <c r="C690" s="390"/>
      <c r="D690" s="390"/>
      <c r="E690" s="391"/>
      <c r="F690" s="4"/>
      <c r="G690" s="4"/>
      <c r="H690" s="4"/>
      <c r="I690" s="4"/>
      <c r="J690" s="4"/>
      <c r="K690" s="4"/>
      <c r="L690" s="4"/>
      <c r="M690" s="4"/>
      <c r="N690" s="4"/>
    </row>
    <row r="691" spans="1:14">
      <c r="A691" s="4"/>
      <c r="B691" s="4"/>
      <c r="C691" s="390"/>
      <c r="D691" s="390"/>
      <c r="E691" s="391"/>
      <c r="F691" s="4"/>
      <c r="G691" s="4"/>
      <c r="H691" s="4"/>
      <c r="I691" s="4"/>
      <c r="J691" s="4"/>
      <c r="K691" s="4"/>
      <c r="L691" s="4"/>
      <c r="M691" s="4"/>
      <c r="N691" s="4"/>
    </row>
    <row r="692" spans="1:14">
      <c r="A692" s="4"/>
      <c r="B692" s="4"/>
      <c r="C692" s="390"/>
      <c r="D692" s="390"/>
      <c r="E692" s="391"/>
      <c r="F692" s="4"/>
      <c r="G692" s="4"/>
      <c r="H692" s="4"/>
      <c r="I692" s="4"/>
      <c r="J692" s="4"/>
      <c r="K692" s="4"/>
      <c r="L692" s="4"/>
      <c r="M692" s="4"/>
      <c r="N692" s="4"/>
    </row>
    <row r="693" spans="1:14">
      <c r="A693" s="4"/>
      <c r="B693" s="4"/>
      <c r="C693" s="390"/>
      <c r="D693" s="390"/>
      <c r="E693" s="391"/>
      <c r="F693" s="4"/>
      <c r="G693" s="4"/>
      <c r="H693" s="4"/>
      <c r="I693" s="4"/>
      <c r="J693" s="4"/>
      <c r="K693" s="4"/>
      <c r="L693" s="4"/>
      <c r="M693" s="4"/>
      <c r="N693" s="4"/>
    </row>
    <row r="694" spans="1:14">
      <c r="A694" s="4"/>
      <c r="B694" s="4"/>
      <c r="C694" s="390"/>
      <c r="D694" s="390"/>
      <c r="E694" s="391"/>
      <c r="F694" s="4"/>
      <c r="G694" s="4"/>
      <c r="H694" s="4"/>
      <c r="I694" s="4"/>
      <c r="J694" s="4"/>
      <c r="K694" s="4"/>
      <c r="L694" s="4"/>
      <c r="M694" s="4"/>
      <c r="N694" s="4"/>
    </row>
    <row r="695" spans="1:14">
      <c r="A695" s="4"/>
      <c r="B695" s="4"/>
      <c r="C695" s="390"/>
      <c r="D695" s="390"/>
      <c r="E695" s="391"/>
      <c r="F695" s="4"/>
      <c r="G695" s="4"/>
      <c r="H695" s="4"/>
      <c r="I695" s="4"/>
      <c r="J695" s="4"/>
      <c r="K695" s="4"/>
      <c r="L695" s="4"/>
      <c r="M695" s="4"/>
      <c r="N695" s="4"/>
    </row>
    <row r="696" spans="1:14">
      <c r="A696" s="4"/>
      <c r="B696" s="4"/>
      <c r="C696" s="390"/>
      <c r="D696" s="390"/>
      <c r="E696" s="391"/>
      <c r="F696" s="4"/>
      <c r="G696" s="4"/>
      <c r="H696" s="4"/>
      <c r="I696" s="4"/>
      <c r="J696" s="4"/>
      <c r="K696" s="4"/>
      <c r="L696" s="4"/>
      <c r="M696" s="4"/>
      <c r="N696" s="4"/>
    </row>
    <row r="697" spans="1:14">
      <c r="A697" s="4"/>
      <c r="B697" s="4"/>
      <c r="C697" s="390"/>
      <c r="D697" s="390"/>
      <c r="E697" s="391"/>
      <c r="F697" s="4"/>
      <c r="G697" s="4"/>
      <c r="H697" s="4"/>
      <c r="I697" s="4"/>
      <c r="J697" s="4"/>
      <c r="K697" s="4"/>
      <c r="L697" s="4"/>
      <c r="M697" s="4"/>
      <c r="N697" s="4"/>
    </row>
    <row r="698" spans="1:14">
      <c r="A698" s="4"/>
      <c r="B698" s="4"/>
      <c r="C698" s="390"/>
      <c r="D698" s="390"/>
      <c r="E698" s="391"/>
      <c r="F698" s="4"/>
      <c r="G698" s="4"/>
      <c r="H698" s="4"/>
      <c r="I698" s="4"/>
      <c r="J698" s="4"/>
      <c r="K698" s="4"/>
      <c r="L698" s="4"/>
      <c r="M698" s="4"/>
      <c r="N698" s="4"/>
    </row>
    <row r="699" spans="1:14">
      <c r="A699" s="4"/>
      <c r="B699" s="4"/>
      <c r="C699" s="390"/>
      <c r="D699" s="390"/>
      <c r="E699" s="391"/>
      <c r="F699" s="4"/>
      <c r="G699" s="4"/>
      <c r="H699" s="4"/>
      <c r="I699" s="4"/>
      <c r="J699" s="4"/>
      <c r="K699" s="4"/>
      <c r="L699" s="4"/>
      <c r="M699" s="4"/>
      <c r="N699" s="4"/>
    </row>
    <row r="700" spans="1:14">
      <c r="A700" s="4"/>
      <c r="B700" s="4"/>
      <c r="C700" s="390"/>
      <c r="D700" s="390"/>
      <c r="E700" s="391"/>
      <c r="F700" s="4"/>
      <c r="G700" s="4"/>
      <c r="H700" s="4"/>
      <c r="I700" s="4"/>
      <c r="J700" s="4"/>
      <c r="K700" s="4"/>
      <c r="L700" s="4"/>
      <c r="M700" s="4"/>
      <c r="N700" s="4"/>
    </row>
    <row r="701" spans="1:14">
      <c r="A701" s="4"/>
      <c r="B701" s="4"/>
      <c r="C701" s="390"/>
      <c r="D701" s="390"/>
      <c r="E701" s="391"/>
      <c r="F701" s="4"/>
      <c r="G701" s="4"/>
      <c r="H701" s="4"/>
      <c r="I701" s="4"/>
      <c r="J701" s="4"/>
      <c r="K701" s="4"/>
      <c r="L701" s="4"/>
      <c r="M701" s="4"/>
      <c r="N701" s="4"/>
    </row>
    <row r="702" spans="1:14">
      <c r="A702" s="4"/>
      <c r="B702" s="4"/>
      <c r="C702" s="390"/>
      <c r="D702" s="390"/>
      <c r="E702" s="391"/>
      <c r="F702" s="4"/>
      <c r="G702" s="4"/>
      <c r="H702" s="4"/>
      <c r="I702" s="4"/>
      <c r="J702" s="4"/>
      <c r="K702" s="4"/>
      <c r="L702" s="4"/>
      <c r="M702" s="4"/>
      <c r="N702" s="4"/>
    </row>
    <row r="703" spans="1:14">
      <c r="A703" s="4"/>
      <c r="B703" s="4"/>
      <c r="C703" s="390"/>
      <c r="D703" s="390"/>
      <c r="E703" s="391"/>
      <c r="F703" s="4"/>
      <c r="G703" s="4"/>
      <c r="H703" s="4"/>
      <c r="I703" s="4"/>
      <c r="J703" s="4"/>
      <c r="K703" s="4"/>
      <c r="L703" s="4"/>
      <c r="M703" s="4"/>
      <c r="N703" s="4"/>
    </row>
    <row r="704" spans="1:14">
      <c r="A704" s="4"/>
      <c r="B704" s="4"/>
      <c r="C704" s="390"/>
      <c r="D704" s="390"/>
      <c r="E704" s="391"/>
      <c r="F704" s="4"/>
      <c r="G704" s="4"/>
      <c r="H704" s="4"/>
      <c r="I704" s="4"/>
      <c r="J704" s="4"/>
      <c r="K704" s="4"/>
      <c r="L704" s="4"/>
      <c r="M704" s="4"/>
      <c r="N704" s="4"/>
    </row>
    <row r="705" spans="1:14">
      <c r="A705" s="4"/>
      <c r="B705" s="4"/>
      <c r="C705" s="390"/>
      <c r="D705" s="390"/>
      <c r="E705" s="391"/>
      <c r="F705" s="4"/>
      <c r="G705" s="4"/>
      <c r="H705" s="4"/>
      <c r="I705" s="4"/>
      <c r="J705" s="4"/>
      <c r="K705" s="4"/>
      <c r="L705" s="4"/>
      <c r="M705" s="4"/>
      <c r="N705" s="4"/>
    </row>
    <row r="706" spans="1:14">
      <c r="A706" s="4"/>
      <c r="B706" s="4"/>
      <c r="C706" s="390"/>
      <c r="D706" s="390"/>
      <c r="E706" s="391"/>
      <c r="F706" s="4"/>
      <c r="G706" s="4"/>
      <c r="H706" s="4"/>
      <c r="I706" s="4"/>
      <c r="J706" s="4"/>
      <c r="K706" s="4"/>
      <c r="L706" s="4"/>
      <c r="M706" s="4"/>
      <c r="N706" s="4"/>
    </row>
    <row r="707" spans="1:14">
      <c r="A707" s="4"/>
      <c r="B707" s="4"/>
      <c r="C707" s="390"/>
      <c r="D707" s="390"/>
      <c r="E707" s="391"/>
      <c r="F707" s="4"/>
      <c r="G707" s="4"/>
      <c r="H707" s="4"/>
      <c r="I707" s="4"/>
      <c r="J707" s="4"/>
      <c r="K707" s="4"/>
      <c r="L707" s="4"/>
      <c r="M707" s="4"/>
      <c r="N707" s="4"/>
    </row>
    <row r="708" spans="1:14">
      <c r="A708" s="4"/>
      <c r="B708" s="4"/>
      <c r="C708" s="390"/>
      <c r="D708" s="390"/>
      <c r="E708" s="391"/>
      <c r="F708" s="4"/>
      <c r="G708" s="4"/>
      <c r="H708" s="4"/>
      <c r="I708" s="4"/>
      <c r="J708" s="4"/>
      <c r="K708" s="4"/>
      <c r="L708" s="4"/>
      <c r="M708" s="4"/>
      <c r="N708" s="4"/>
    </row>
    <row r="709" spans="1:14">
      <c r="A709" s="4"/>
      <c r="B709" s="4"/>
      <c r="C709" s="390"/>
      <c r="D709" s="390"/>
      <c r="E709" s="391"/>
      <c r="F709" s="4"/>
      <c r="G709" s="4"/>
      <c r="H709" s="4"/>
      <c r="I709" s="4"/>
      <c r="J709" s="4"/>
      <c r="K709" s="4"/>
      <c r="L709" s="4"/>
      <c r="M709" s="4"/>
      <c r="N709" s="4"/>
    </row>
    <row r="710" spans="1:14">
      <c r="A710" s="4"/>
      <c r="B710" s="4"/>
      <c r="C710" s="390"/>
      <c r="D710" s="390"/>
      <c r="E710" s="391"/>
      <c r="F710" s="4"/>
      <c r="G710" s="4"/>
      <c r="H710" s="4"/>
      <c r="I710" s="4"/>
      <c r="J710" s="4"/>
      <c r="K710" s="4"/>
      <c r="L710" s="4"/>
      <c r="M710" s="4"/>
      <c r="N710" s="4"/>
    </row>
    <row r="711" spans="1:14">
      <c r="A711" s="4"/>
      <c r="B711" s="4"/>
      <c r="C711" s="390"/>
      <c r="D711" s="390"/>
      <c r="E711" s="391"/>
      <c r="F711" s="4"/>
      <c r="G711" s="4"/>
      <c r="H711" s="4"/>
      <c r="I711" s="4"/>
      <c r="J711" s="4"/>
      <c r="K711" s="4"/>
      <c r="L711" s="4"/>
      <c r="M711" s="4"/>
      <c r="N711" s="4"/>
    </row>
    <row r="712" spans="1:14">
      <c r="A712" s="4"/>
      <c r="B712" s="4"/>
      <c r="C712" s="390"/>
      <c r="D712" s="390"/>
      <c r="E712" s="391"/>
      <c r="F712" s="4"/>
      <c r="G712" s="4"/>
      <c r="H712" s="4"/>
      <c r="I712" s="4"/>
      <c r="J712" s="4"/>
      <c r="K712" s="4"/>
      <c r="L712" s="4"/>
      <c r="M712" s="4"/>
      <c r="N712" s="4"/>
    </row>
    <row r="713" spans="1:14">
      <c r="A713" s="4"/>
      <c r="B713" s="4"/>
      <c r="C713" s="390"/>
      <c r="D713" s="390"/>
      <c r="E713" s="391"/>
      <c r="F713" s="4"/>
      <c r="G713" s="4"/>
      <c r="H713" s="4"/>
      <c r="I713" s="4"/>
      <c r="J713" s="4"/>
      <c r="K713" s="4"/>
      <c r="L713" s="4"/>
      <c r="M713" s="4"/>
      <c r="N713" s="4"/>
    </row>
    <row r="714" spans="1:14">
      <c r="A714" s="4"/>
      <c r="B714" s="4"/>
      <c r="C714" s="390"/>
      <c r="D714" s="390"/>
      <c r="E714" s="391"/>
      <c r="F714" s="4"/>
      <c r="G714" s="4"/>
      <c r="H714" s="4"/>
      <c r="I714" s="4"/>
      <c r="J714" s="4"/>
      <c r="K714" s="4"/>
      <c r="L714" s="4"/>
      <c r="M714" s="4"/>
      <c r="N714" s="4"/>
    </row>
    <row r="715" spans="1:14">
      <c r="A715" s="4"/>
      <c r="B715" s="4"/>
      <c r="C715" s="390"/>
      <c r="D715" s="390"/>
      <c r="E715" s="391"/>
      <c r="F715" s="4"/>
      <c r="G715" s="4"/>
      <c r="H715" s="4"/>
      <c r="I715" s="4"/>
      <c r="J715" s="4"/>
      <c r="K715" s="4"/>
      <c r="L715" s="4"/>
      <c r="M715" s="4"/>
      <c r="N715" s="4"/>
    </row>
    <row r="716" spans="1:14">
      <c r="A716" s="4"/>
      <c r="B716" s="4"/>
      <c r="C716" s="390"/>
      <c r="D716" s="390"/>
      <c r="E716" s="391"/>
      <c r="F716" s="4"/>
      <c r="G716" s="4"/>
      <c r="H716" s="4"/>
      <c r="I716" s="4"/>
      <c r="J716" s="4"/>
      <c r="K716" s="4"/>
      <c r="L716" s="4"/>
      <c r="M716" s="4"/>
      <c r="N716" s="4"/>
    </row>
    <row r="717" spans="1:14">
      <c r="A717" s="4"/>
      <c r="B717" s="4"/>
      <c r="C717" s="390"/>
      <c r="D717" s="390"/>
      <c r="E717" s="391"/>
      <c r="F717" s="4"/>
      <c r="G717" s="4"/>
      <c r="H717" s="4"/>
      <c r="I717" s="4"/>
      <c r="J717" s="4"/>
      <c r="K717" s="4"/>
      <c r="L717" s="4"/>
      <c r="M717" s="4"/>
      <c r="N717" s="4"/>
    </row>
    <row r="718" spans="1:14">
      <c r="A718" s="4"/>
      <c r="B718" s="4"/>
      <c r="C718" s="390"/>
      <c r="D718" s="390"/>
      <c r="E718" s="391"/>
      <c r="F718" s="4"/>
      <c r="G718" s="4"/>
      <c r="H718" s="4"/>
      <c r="I718" s="4"/>
      <c r="J718" s="4"/>
      <c r="K718" s="4"/>
      <c r="L718" s="4"/>
      <c r="M718" s="4"/>
      <c r="N718" s="4"/>
    </row>
    <row r="719" spans="1:14">
      <c r="A719" s="4"/>
      <c r="B719" s="4"/>
      <c r="C719" s="390"/>
      <c r="D719" s="390"/>
      <c r="E719" s="391"/>
      <c r="F719" s="4"/>
      <c r="G719" s="4"/>
      <c r="H719" s="4"/>
      <c r="I719" s="4"/>
      <c r="J719" s="4"/>
      <c r="K719" s="4"/>
      <c r="L719" s="4"/>
      <c r="M719" s="4"/>
      <c r="N719" s="4"/>
    </row>
    <row r="720" spans="1:14">
      <c r="A720" s="4"/>
      <c r="B720" s="4"/>
      <c r="C720" s="390"/>
      <c r="D720" s="390"/>
      <c r="E720" s="391"/>
      <c r="F720" s="4"/>
      <c r="G720" s="4"/>
      <c r="H720" s="4"/>
      <c r="I720" s="4"/>
      <c r="J720" s="4"/>
      <c r="K720" s="4"/>
      <c r="L720" s="4"/>
      <c r="M720" s="4"/>
      <c r="N720" s="4"/>
    </row>
    <row r="721" spans="1:14">
      <c r="A721" s="4"/>
      <c r="B721" s="4"/>
      <c r="C721" s="390"/>
      <c r="D721" s="390"/>
      <c r="E721" s="391"/>
      <c r="F721" s="4"/>
      <c r="G721" s="4"/>
      <c r="H721" s="4"/>
      <c r="I721" s="4"/>
      <c r="J721" s="4"/>
      <c r="K721" s="4"/>
      <c r="L721" s="4"/>
      <c r="M721" s="4"/>
      <c r="N721" s="4"/>
    </row>
    <row r="722" spans="1:14">
      <c r="A722" s="4"/>
      <c r="B722" s="4"/>
      <c r="C722" s="390"/>
      <c r="D722" s="390"/>
      <c r="E722" s="391"/>
      <c r="F722" s="4"/>
      <c r="G722" s="4"/>
      <c r="H722" s="4"/>
      <c r="I722" s="4"/>
      <c r="J722" s="4"/>
      <c r="K722" s="4"/>
      <c r="L722" s="4"/>
      <c r="M722" s="4"/>
      <c r="N722" s="4"/>
    </row>
    <row r="723" spans="1:14">
      <c r="A723" s="4"/>
      <c r="B723" s="4"/>
      <c r="C723" s="390"/>
      <c r="D723" s="390"/>
      <c r="E723" s="391"/>
      <c r="F723" s="4"/>
      <c r="G723" s="4"/>
      <c r="H723" s="4"/>
      <c r="I723" s="4"/>
      <c r="J723" s="4"/>
      <c r="K723" s="4"/>
      <c r="L723" s="4"/>
      <c r="M723" s="4"/>
      <c r="N723" s="4"/>
    </row>
    <row r="724" spans="1:14">
      <c r="A724" s="4"/>
      <c r="B724" s="4"/>
      <c r="C724" s="390"/>
      <c r="D724" s="390"/>
      <c r="E724" s="391"/>
      <c r="F724" s="4"/>
      <c r="G724" s="4"/>
      <c r="H724" s="4"/>
      <c r="I724" s="4"/>
      <c r="J724" s="4"/>
      <c r="K724" s="4"/>
      <c r="L724" s="4"/>
      <c r="M724" s="4"/>
      <c r="N724" s="4"/>
    </row>
    <row r="725" spans="1:14">
      <c r="A725" s="4"/>
      <c r="B725" s="4"/>
      <c r="C725" s="390"/>
      <c r="D725" s="390"/>
      <c r="E725" s="391"/>
      <c r="F725" s="4"/>
      <c r="G725" s="4"/>
      <c r="H725" s="4"/>
      <c r="I725" s="4"/>
      <c r="J725" s="4"/>
      <c r="K725" s="4"/>
      <c r="L725" s="4"/>
      <c r="M725" s="4"/>
      <c r="N725" s="4"/>
    </row>
    <row r="726" spans="1:14">
      <c r="A726" s="4"/>
      <c r="B726" s="4"/>
      <c r="C726" s="390"/>
      <c r="D726" s="390"/>
      <c r="E726" s="391"/>
      <c r="F726" s="4"/>
      <c r="G726" s="4"/>
      <c r="H726" s="4"/>
      <c r="I726" s="4"/>
      <c r="J726" s="4"/>
      <c r="K726" s="4"/>
      <c r="L726" s="4"/>
      <c r="M726" s="4"/>
      <c r="N726" s="4"/>
    </row>
    <row r="727" spans="1:14">
      <c r="A727" s="4"/>
      <c r="B727" s="4"/>
      <c r="C727" s="390"/>
      <c r="D727" s="390"/>
      <c r="E727" s="391"/>
      <c r="F727" s="4"/>
      <c r="G727" s="4"/>
      <c r="H727" s="4"/>
      <c r="I727" s="4"/>
      <c r="J727" s="4"/>
      <c r="K727" s="4"/>
      <c r="L727" s="4"/>
      <c r="M727" s="4"/>
      <c r="N727" s="4"/>
    </row>
    <row r="728" spans="1:14">
      <c r="A728" s="4"/>
      <c r="B728" s="4"/>
      <c r="C728" s="390"/>
      <c r="D728" s="390"/>
      <c r="E728" s="391"/>
      <c r="F728" s="4"/>
      <c r="G728" s="4"/>
      <c r="H728" s="4"/>
      <c r="I728" s="4"/>
      <c r="J728" s="4"/>
      <c r="K728" s="4"/>
      <c r="L728" s="4"/>
      <c r="M728" s="4"/>
      <c r="N728" s="4"/>
    </row>
    <row r="729" spans="1:14">
      <c r="A729" s="4"/>
      <c r="B729" s="4"/>
      <c r="C729" s="390"/>
      <c r="D729" s="390"/>
      <c r="E729" s="391"/>
      <c r="F729" s="4"/>
      <c r="G729" s="4"/>
      <c r="H729" s="4"/>
      <c r="I729" s="4"/>
      <c r="J729" s="4"/>
      <c r="K729" s="4"/>
      <c r="L729" s="4"/>
      <c r="M729" s="4"/>
      <c r="N729" s="4"/>
    </row>
    <row r="730" spans="1:14">
      <c r="A730" s="4"/>
      <c r="B730" s="4"/>
      <c r="C730" s="390"/>
      <c r="D730" s="390"/>
      <c r="E730" s="391"/>
      <c r="F730" s="4"/>
      <c r="G730" s="4"/>
      <c r="H730" s="4"/>
      <c r="I730" s="4"/>
      <c r="J730" s="4"/>
      <c r="K730" s="4"/>
      <c r="L730" s="4"/>
      <c r="M730" s="4"/>
      <c r="N730" s="4"/>
    </row>
    <row r="731" spans="1:14">
      <c r="A731" s="4"/>
      <c r="B731" s="4"/>
      <c r="C731" s="390"/>
      <c r="D731" s="390"/>
      <c r="E731" s="391"/>
      <c r="F731" s="4"/>
      <c r="G731" s="4"/>
      <c r="H731" s="4"/>
      <c r="I731" s="4"/>
      <c r="J731" s="4"/>
      <c r="K731" s="4"/>
      <c r="L731" s="4"/>
      <c r="M731" s="4"/>
      <c r="N731" s="4"/>
    </row>
    <row r="732" spans="1:14">
      <c r="A732" s="4"/>
      <c r="B732" s="4"/>
      <c r="C732" s="390"/>
      <c r="D732" s="390"/>
      <c r="E732" s="391"/>
      <c r="F732" s="4"/>
      <c r="G732" s="4"/>
      <c r="H732" s="4"/>
      <c r="I732" s="4"/>
      <c r="J732" s="4"/>
      <c r="K732" s="4"/>
      <c r="L732" s="4"/>
      <c r="M732" s="4"/>
      <c r="N732" s="4"/>
    </row>
    <row r="733" spans="1:14">
      <c r="A733" s="4"/>
      <c r="B733" s="4"/>
      <c r="C733" s="390"/>
      <c r="D733" s="390"/>
      <c r="E733" s="391"/>
      <c r="F733" s="4"/>
      <c r="G733" s="4"/>
      <c r="H733" s="4"/>
      <c r="I733" s="4"/>
      <c r="J733" s="4"/>
      <c r="K733" s="4"/>
      <c r="L733" s="4"/>
      <c r="M733" s="4"/>
      <c r="N733" s="4"/>
    </row>
    <row r="734" spans="1:14">
      <c r="A734" s="4"/>
      <c r="B734" s="4"/>
      <c r="C734" s="390"/>
      <c r="D734" s="390"/>
      <c r="E734" s="391"/>
      <c r="F734" s="4"/>
      <c r="G734" s="4"/>
      <c r="H734" s="4"/>
      <c r="I734" s="4"/>
      <c r="J734" s="4"/>
      <c r="K734" s="4"/>
      <c r="L734" s="4"/>
      <c r="M734" s="4"/>
      <c r="N734" s="4"/>
    </row>
    <row r="735" spans="1:14">
      <c r="A735" s="4"/>
      <c r="B735" s="4"/>
      <c r="C735" s="390"/>
      <c r="D735" s="390"/>
      <c r="E735" s="391"/>
      <c r="F735" s="4"/>
      <c r="G735" s="4"/>
      <c r="H735" s="4"/>
      <c r="I735" s="4"/>
      <c r="J735" s="4"/>
      <c r="K735" s="4"/>
      <c r="L735" s="4"/>
      <c r="M735" s="4"/>
      <c r="N735" s="4"/>
    </row>
    <row r="736" spans="1:14">
      <c r="A736" s="4"/>
      <c r="B736" s="4"/>
      <c r="C736" s="390"/>
      <c r="D736" s="390"/>
      <c r="E736" s="391"/>
      <c r="F736" s="4"/>
      <c r="G736" s="4"/>
      <c r="H736" s="4"/>
      <c r="I736" s="4"/>
      <c r="J736" s="4"/>
      <c r="K736" s="4"/>
      <c r="L736" s="4"/>
      <c r="M736" s="4"/>
      <c r="N736" s="4"/>
    </row>
    <row r="737" spans="1:14">
      <c r="A737" s="4"/>
      <c r="B737" s="4"/>
      <c r="C737" s="390"/>
      <c r="D737" s="390"/>
      <c r="E737" s="391"/>
      <c r="F737" s="4"/>
      <c r="G737" s="4"/>
      <c r="H737" s="4"/>
      <c r="I737" s="4"/>
      <c r="J737" s="4"/>
      <c r="K737" s="4"/>
      <c r="L737" s="4"/>
      <c r="M737" s="4"/>
      <c r="N737" s="4"/>
    </row>
    <row r="738" spans="1:14">
      <c r="A738" s="4"/>
      <c r="B738" s="4"/>
      <c r="C738" s="390"/>
      <c r="D738" s="390"/>
      <c r="E738" s="391"/>
      <c r="F738" s="4"/>
      <c r="G738" s="4"/>
      <c r="H738" s="4"/>
      <c r="I738" s="4"/>
      <c r="J738" s="4"/>
      <c r="K738" s="4"/>
      <c r="L738" s="4"/>
      <c r="M738" s="4"/>
      <c r="N738" s="4"/>
    </row>
    <row r="739" spans="1:14">
      <c r="A739" s="4"/>
      <c r="B739" s="4"/>
      <c r="C739" s="390"/>
      <c r="D739" s="390"/>
      <c r="E739" s="391"/>
      <c r="F739" s="4"/>
      <c r="G739" s="4"/>
      <c r="H739" s="4"/>
      <c r="I739" s="4"/>
      <c r="J739" s="4"/>
      <c r="K739" s="4"/>
      <c r="L739" s="4"/>
      <c r="M739" s="4"/>
      <c r="N739" s="4"/>
    </row>
    <row r="740" spans="1:14">
      <c r="A740" s="4"/>
      <c r="B740" s="4"/>
      <c r="C740" s="390"/>
      <c r="D740" s="390"/>
      <c r="E740" s="391"/>
      <c r="F740" s="4"/>
      <c r="G740" s="4"/>
      <c r="H740" s="4"/>
      <c r="I740" s="4"/>
      <c r="J740" s="4"/>
      <c r="K740" s="4"/>
      <c r="L740" s="4"/>
      <c r="M740" s="4"/>
      <c r="N740" s="4"/>
    </row>
    <row r="741" spans="1:14">
      <c r="A741" s="4"/>
      <c r="B741" s="4"/>
      <c r="C741" s="390"/>
      <c r="D741" s="390"/>
      <c r="E741" s="391"/>
      <c r="F741" s="4"/>
      <c r="G741" s="4"/>
      <c r="H741" s="4"/>
      <c r="I741" s="4"/>
      <c r="J741" s="4"/>
      <c r="K741" s="4"/>
      <c r="L741" s="4"/>
      <c r="M741" s="4"/>
      <c r="N741" s="4"/>
    </row>
    <row r="742" spans="1:14">
      <c r="A742" s="4"/>
      <c r="B742" s="4"/>
      <c r="C742" s="390"/>
      <c r="D742" s="390"/>
      <c r="E742" s="391"/>
      <c r="F742" s="4"/>
      <c r="G742" s="4"/>
      <c r="H742" s="4"/>
      <c r="I742" s="4"/>
      <c r="J742" s="4"/>
      <c r="K742" s="4"/>
      <c r="L742" s="4"/>
      <c r="M742" s="4"/>
      <c r="N742" s="4"/>
    </row>
    <row r="743" spans="1:14">
      <c r="A743" s="4"/>
      <c r="B743" s="4"/>
      <c r="C743" s="390"/>
      <c r="D743" s="390"/>
      <c r="E743" s="391"/>
      <c r="F743" s="4"/>
      <c r="G743" s="4"/>
      <c r="H743" s="4"/>
      <c r="I743" s="4"/>
      <c r="J743" s="4"/>
      <c r="K743" s="4"/>
      <c r="L743" s="4"/>
      <c r="M743" s="4"/>
      <c r="N743" s="4"/>
    </row>
    <row r="744" spans="1:14">
      <c r="A744" s="4"/>
      <c r="B744" s="4"/>
      <c r="C744" s="390"/>
      <c r="D744" s="390"/>
      <c r="E744" s="391"/>
      <c r="F744" s="4"/>
      <c r="G744" s="4"/>
      <c r="H744" s="4"/>
      <c r="I744" s="4"/>
      <c r="J744" s="4"/>
      <c r="K744" s="4"/>
      <c r="L744" s="4"/>
      <c r="M744" s="4"/>
      <c r="N744" s="4"/>
    </row>
    <row r="745" spans="1:14">
      <c r="A745" s="4"/>
      <c r="B745" s="4"/>
      <c r="C745" s="390"/>
      <c r="D745" s="390"/>
      <c r="E745" s="391"/>
      <c r="F745" s="4"/>
      <c r="G745" s="4"/>
      <c r="H745" s="4"/>
      <c r="I745" s="4"/>
      <c r="J745" s="4"/>
      <c r="K745" s="4"/>
      <c r="L745" s="4"/>
      <c r="M745" s="4"/>
      <c r="N745" s="4"/>
    </row>
    <row r="746" spans="1:14">
      <c r="A746" s="4"/>
      <c r="B746" s="4"/>
      <c r="C746" s="390"/>
      <c r="D746" s="390"/>
      <c r="E746" s="391"/>
      <c r="F746" s="4"/>
      <c r="G746" s="4"/>
      <c r="H746" s="4"/>
      <c r="I746" s="4"/>
      <c r="J746" s="4"/>
      <c r="K746" s="4"/>
      <c r="L746" s="4"/>
      <c r="M746" s="4"/>
      <c r="N746" s="4"/>
    </row>
    <row r="747" spans="1:14">
      <c r="A747" s="4"/>
      <c r="B747" s="4"/>
      <c r="C747" s="390"/>
      <c r="D747" s="390"/>
      <c r="E747" s="391"/>
      <c r="F747" s="4"/>
      <c r="G747" s="4"/>
      <c r="H747" s="4"/>
      <c r="I747" s="4"/>
      <c r="J747" s="4"/>
      <c r="K747" s="4"/>
      <c r="L747" s="4"/>
      <c r="M747" s="4"/>
      <c r="N747" s="4"/>
    </row>
    <row r="748" spans="1:14">
      <c r="A748" s="4"/>
      <c r="B748" s="4"/>
      <c r="C748" s="390"/>
      <c r="D748" s="390"/>
      <c r="E748" s="391"/>
      <c r="F748" s="4"/>
      <c r="G748" s="4"/>
      <c r="H748" s="4"/>
      <c r="I748" s="4"/>
      <c r="J748" s="4"/>
      <c r="K748" s="4"/>
      <c r="L748" s="4"/>
      <c r="M748" s="4"/>
      <c r="N748" s="4"/>
    </row>
    <row r="749" spans="1:14">
      <c r="A749" s="4"/>
      <c r="B749" s="4"/>
      <c r="C749" s="390"/>
      <c r="D749" s="390"/>
      <c r="E749" s="391"/>
      <c r="F749" s="4"/>
      <c r="G749" s="4"/>
      <c r="H749" s="4"/>
      <c r="I749" s="4"/>
      <c r="J749" s="4"/>
      <c r="K749" s="4"/>
      <c r="L749" s="4"/>
      <c r="M749" s="4"/>
      <c r="N749" s="4"/>
    </row>
    <row r="750" spans="1:14">
      <c r="A750" s="4"/>
      <c r="B750" s="4"/>
      <c r="C750" s="390"/>
      <c r="D750" s="390"/>
      <c r="E750" s="391"/>
      <c r="F750" s="4"/>
      <c r="G750" s="4"/>
      <c r="H750" s="4"/>
      <c r="I750" s="4"/>
      <c r="J750" s="4"/>
      <c r="K750" s="4"/>
      <c r="L750" s="4"/>
      <c r="M750" s="4"/>
      <c r="N750" s="4"/>
    </row>
    <row r="751" spans="1:14">
      <c r="A751" s="4"/>
      <c r="B751" s="4"/>
      <c r="C751" s="390"/>
      <c r="D751" s="390"/>
      <c r="E751" s="391"/>
      <c r="F751" s="4"/>
      <c r="G751" s="4"/>
      <c r="H751" s="4"/>
      <c r="I751" s="4"/>
      <c r="J751" s="4"/>
      <c r="K751" s="4"/>
      <c r="L751" s="4"/>
      <c r="M751" s="4"/>
      <c r="N751" s="4"/>
    </row>
    <row r="752" spans="1:14">
      <c r="A752" s="4"/>
      <c r="B752" s="4"/>
      <c r="C752" s="390"/>
      <c r="D752" s="390"/>
      <c r="E752" s="391"/>
      <c r="F752" s="4"/>
      <c r="G752" s="4"/>
      <c r="H752" s="4"/>
      <c r="I752" s="4"/>
      <c r="J752" s="4"/>
      <c r="K752" s="4"/>
      <c r="L752" s="4"/>
      <c r="M752" s="4"/>
      <c r="N752" s="4"/>
    </row>
    <row r="753" spans="1:14">
      <c r="A753" s="4"/>
      <c r="B753" s="4"/>
      <c r="C753" s="390"/>
      <c r="D753" s="390"/>
      <c r="E753" s="391"/>
      <c r="F753" s="4"/>
      <c r="G753" s="4"/>
      <c r="H753" s="4"/>
      <c r="I753" s="4"/>
      <c r="J753" s="4"/>
      <c r="K753" s="4"/>
      <c r="L753" s="4"/>
      <c r="M753" s="4"/>
      <c r="N753" s="4"/>
    </row>
    <row r="754" spans="1:14">
      <c r="A754" s="4"/>
      <c r="B754" s="4"/>
      <c r="C754" s="390"/>
      <c r="D754" s="390"/>
      <c r="E754" s="391"/>
      <c r="F754" s="4"/>
      <c r="G754" s="4"/>
      <c r="H754" s="4"/>
      <c r="I754" s="4"/>
      <c r="J754" s="4"/>
      <c r="K754" s="4"/>
      <c r="L754" s="4"/>
      <c r="M754" s="4"/>
      <c r="N754" s="4"/>
    </row>
    <row r="755" spans="1:14">
      <c r="A755" s="4"/>
      <c r="B755" s="4"/>
      <c r="C755" s="390"/>
      <c r="D755" s="390"/>
      <c r="E755" s="391"/>
      <c r="F755" s="4"/>
      <c r="G755" s="4"/>
      <c r="H755" s="4"/>
      <c r="I755" s="4"/>
      <c r="J755" s="4"/>
      <c r="K755" s="4"/>
      <c r="L755" s="4"/>
      <c r="M755" s="4"/>
      <c r="N755" s="4"/>
    </row>
    <row r="756" spans="1:14">
      <c r="A756" s="4"/>
      <c r="B756" s="4"/>
      <c r="C756" s="390"/>
      <c r="D756" s="390"/>
      <c r="E756" s="391"/>
      <c r="F756" s="4"/>
      <c r="G756" s="4"/>
      <c r="H756" s="4"/>
      <c r="I756" s="4"/>
      <c r="J756" s="4"/>
      <c r="K756" s="4"/>
      <c r="L756" s="4"/>
      <c r="M756" s="4"/>
      <c r="N756" s="4"/>
    </row>
    <row r="757" spans="1:14">
      <c r="A757" s="4"/>
      <c r="B757" s="4"/>
      <c r="C757" s="390"/>
      <c r="D757" s="390"/>
      <c r="E757" s="391"/>
      <c r="F757" s="4"/>
      <c r="G757" s="4"/>
      <c r="H757" s="4"/>
      <c r="I757" s="4"/>
      <c r="J757" s="4"/>
      <c r="K757" s="4"/>
      <c r="L757" s="4"/>
      <c r="M757" s="4"/>
      <c r="N757" s="4"/>
    </row>
    <row r="758" spans="1:14">
      <c r="A758" s="4"/>
      <c r="B758" s="4"/>
      <c r="C758" s="390"/>
      <c r="D758" s="390"/>
      <c r="E758" s="391"/>
      <c r="F758" s="4"/>
      <c r="G758" s="4"/>
      <c r="H758" s="4"/>
      <c r="I758" s="4"/>
      <c r="J758" s="4"/>
      <c r="K758" s="4"/>
      <c r="L758" s="4"/>
      <c r="M758" s="4"/>
      <c r="N758" s="4"/>
    </row>
    <row r="759" spans="1:14">
      <c r="A759" s="4"/>
      <c r="B759" s="4"/>
      <c r="C759" s="390"/>
      <c r="D759" s="390"/>
      <c r="E759" s="391"/>
      <c r="F759" s="4"/>
      <c r="G759" s="4"/>
      <c r="H759" s="4"/>
      <c r="I759" s="4"/>
      <c r="J759" s="4"/>
      <c r="K759" s="4"/>
      <c r="L759" s="4"/>
      <c r="M759" s="4"/>
      <c r="N759" s="4"/>
    </row>
    <row r="760" spans="1:14">
      <c r="A760" s="4"/>
      <c r="B760" s="4"/>
      <c r="C760" s="390"/>
      <c r="D760" s="390"/>
      <c r="E760" s="391"/>
      <c r="F760" s="4"/>
      <c r="G760" s="4"/>
      <c r="H760" s="4"/>
      <c r="I760" s="4"/>
      <c r="J760" s="4"/>
      <c r="K760" s="4"/>
      <c r="L760" s="4"/>
      <c r="M760" s="4"/>
      <c r="N760" s="4"/>
    </row>
    <row r="761" spans="1:14">
      <c r="A761" s="4"/>
      <c r="B761" s="4"/>
      <c r="C761" s="390"/>
      <c r="D761" s="390"/>
      <c r="E761" s="391"/>
      <c r="F761" s="4"/>
      <c r="G761" s="4"/>
      <c r="H761" s="4"/>
      <c r="I761" s="4"/>
      <c r="J761" s="4"/>
      <c r="K761" s="4"/>
      <c r="L761" s="4"/>
      <c r="M761" s="4"/>
      <c r="N761" s="4"/>
    </row>
    <row r="762" spans="1:14">
      <c r="A762" s="4"/>
      <c r="B762" s="4"/>
      <c r="C762" s="390"/>
      <c r="D762" s="390"/>
      <c r="E762" s="391"/>
      <c r="F762" s="4"/>
      <c r="G762" s="4"/>
      <c r="H762" s="4"/>
      <c r="I762" s="4"/>
      <c r="J762" s="4"/>
      <c r="K762" s="4"/>
      <c r="L762" s="4"/>
      <c r="M762" s="4"/>
      <c r="N762" s="4"/>
    </row>
    <row r="763" spans="1:14">
      <c r="A763" s="4"/>
      <c r="B763" s="4"/>
      <c r="C763" s="390"/>
      <c r="D763" s="390"/>
      <c r="E763" s="391"/>
      <c r="F763" s="4"/>
      <c r="G763" s="4"/>
      <c r="H763" s="4"/>
      <c r="I763" s="4"/>
      <c r="J763" s="4"/>
      <c r="K763" s="4"/>
      <c r="L763" s="4"/>
      <c r="M763" s="4"/>
      <c r="N763" s="4"/>
    </row>
    <row r="764" spans="1:14">
      <c r="A764" s="4"/>
      <c r="B764" s="4"/>
      <c r="C764" s="390"/>
      <c r="D764" s="390"/>
      <c r="E764" s="391"/>
      <c r="F764" s="4"/>
      <c r="G764" s="4"/>
      <c r="H764" s="4"/>
      <c r="I764" s="4"/>
      <c r="J764" s="4"/>
      <c r="K764" s="4"/>
      <c r="L764" s="4"/>
      <c r="M764" s="4"/>
      <c r="N764" s="4"/>
    </row>
    <row r="765" spans="1:14">
      <c r="A765" s="4"/>
      <c r="B765" s="4"/>
      <c r="C765" s="390"/>
      <c r="D765" s="390"/>
      <c r="E765" s="391"/>
      <c r="F765" s="4"/>
      <c r="G765" s="4"/>
      <c r="H765" s="4"/>
      <c r="I765" s="4"/>
      <c r="J765" s="4"/>
      <c r="K765" s="4"/>
      <c r="L765" s="4"/>
      <c r="M765" s="4"/>
      <c r="N765" s="4"/>
    </row>
    <row r="766" spans="1:14">
      <c r="A766" s="4"/>
      <c r="B766" s="4"/>
      <c r="C766" s="390"/>
      <c r="D766" s="390"/>
      <c r="E766" s="391"/>
      <c r="F766" s="4"/>
      <c r="G766" s="4"/>
      <c r="H766" s="4"/>
      <c r="I766" s="4"/>
      <c r="J766" s="4"/>
      <c r="K766" s="4"/>
      <c r="L766" s="4"/>
      <c r="M766" s="4"/>
      <c r="N766" s="4"/>
    </row>
    <row r="767" spans="1:14">
      <c r="A767" s="4"/>
      <c r="B767" s="4"/>
      <c r="C767" s="390"/>
      <c r="D767" s="390"/>
      <c r="E767" s="391"/>
      <c r="F767" s="4"/>
      <c r="G767" s="4"/>
      <c r="H767" s="4"/>
      <c r="I767" s="4"/>
      <c r="J767" s="4"/>
      <c r="K767" s="4"/>
      <c r="L767" s="4"/>
      <c r="M767" s="4"/>
      <c r="N767" s="4"/>
    </row>
    <row r="768" spans="1:14">
      <c r="A768" s="4"/>
      <c r="B768" s="4"/>
      <c r="C768" s="390"/>
      <c r="D768" s="390"/>
      <c r="E768" s="391"/>
      <c r="F768" s="4"/>
      <c r="G768" s="4"/>
      <c r="H768" s="4"/>
      <c r="I768" s="4"/>
      <c r="J768" s="4"/>
      <c r="K768" s="4"/>
      <c r="L768" s="4"/>
      <c r="M768" s="4"/>
      <c r="N768" s="4"/>
    </row>
    <row r="769" spans="1:14">
      <c r="A769" s="4"/>
      <c r="B769" s="4"/>
      <c r="C769" s="390"/>
      <c r="D769" s="390"/>
      <c r="E769" s="391"/>
      <c r="F769" s="4"/>
      <c r="G769" s="4"/>
      <c r="H769" s="4"/>
      <c r="I769" s="4"/>
      <c r="J769" s="4"/>
      <c r="K769" s="4"/>
      <c r="L769" s="4"/>
      <c r="M769" s="4"/>
      <c r="N769" s="4"/>
    </row>
    <row r="770" spans="1:14">
      <c r="A770" s="4"/>
      <c r="B770" s="4"/>
      <c r="C770" s="390"/>
      <c r="D770" s="390"/>
      <c r="E770" s="391"/>
      <c r="F770" s="4"/>
      <c r="G770" s="4"/>
      <c r="H770" s="4"/>
      <c r="I770" s="4"/>
      <c r="J770" s="4"/>
      <c r="K770" s="4"/>
      <c r="L770" s="4"/>
      <c r="M770" s="4"/>
      <c r="N770" s="4"/>
    </row>
    <row r="771" spans="1:14">
      <c r="A771" s="4"/>
      <c r="B771" s="4"/>
      <c r="C771" s="390"/>
      <c r="D771" s="390"/>
      <c r="E771" s="391"/>
      <c r="F771" s="4"/>
      <c r="G771" s="4"/>
      <c r="H771" s="4"/>
      <c r="I771" s="4"/>
      <c r="J771" s="4"/>
      <c r="K771" s="4"/>
      <c r="L771" s="4"/>
      <c r="M771" s="4"/>
      <c r="N771" s="4"/>
    </row>
    <row r="772" spans="1:14">
      <c r="A772" s="4"/>
      <c r="B772" s="4"/>
      <c r="C772" s="390"/>
      <c r="D772" s="390"/>
      <c r="E772" s="391"/>
      <c r="F772" s="4"/>
      <c r="G772" s="4"/>
      <c r="H772" s="4"/>
      <c r="I772" s="4"/>
      <c r="J772" s="4"/>
      <c r="K772" s="4"/>
      <c r="L772" s="4"/>
      <c r="M772" s="4"/>
      <c r="N772" s="4"/>
    </row>
    <row r="773" spans="1:14">
      <c r="A773" s="4"/>
      <c r="B773" s="4"/>
      <c r="C773" s="390"/>
      <c r="D773" s="390"/>
      <c r="E773" s="391"/>
      <c r="F773" s="4"/>
      <c r="G773" s="4"/>
      <c r="H773" s="4"/>
      <c r="I773" s="4"/>
      <c r="J773" s="4"/>
      <c r="K773" s="4"/>
      <c r="L773" s="4"/>
      <c r="M773" s="4"/>
      <c r="N773" s="4"/>
    </row>
    <row r="774" spans="1:14">
      <c r="A774" s="4"/>
      <c r="B774" s="4"/>
      <c r="C774" s="390"/>
      <c r="D774" s="390"/>
      <c r="E774" s="391"/>
      <c r="F774" s="4"/>
      <c r="G774" s="4"/>
      <c r="H774" s="4"/>
      <c r="I774" s="4"/>
      <c r="J774" s="4"/>
      <c r="K774" s="4"/>
      <c r="L774" s="4"/>
      <c r="M774" s="4"/>
      <c r="N774" s="4"/>
    </row>
    <row r="775" spans="1:14">
      <c r="A775" s="4"/>
      <c r="B775" s="4"/>
      <c r="C775" s="390"/>
      <c r="D775" s="390"/>
      <c r="E775" s="391"/>
      <c r="F775" s="4"/>
      <c r="G775" s="4"/>
      <c r="H775" s="4"/>
      <c r="I775" s="4"/>
      <c r="J775" s="4"/>
      <c r="K775" s="4"/>
      <c r="L775" s="4"/>
      <c r="M775" s="4"/>
      <c r="N775" s="4"/>
    </row>
    <row r="776" spans="1:14">
      <c r="A776" s="4"/>
      <c r="B776" s="4"/>
      <c r="C776" s="390"/>
      <c r="D776" s="390"/>
      <c r="E776" s="391"/>
      <c r="F776" s="4"/>
      <c r="G776" s="4"/>
      <c r="H776" s="4"/>
      <c r="I776" s="4"/>
      <c r="J776" s="4"/>
      <c r="K776" s="4"/>
      <c r="L776" s="4"/>
      <c r="M776" s="4"/>
      <c r="N776" s="4"/>
    </row>
    <row r="777" spans="1:14">
      <c r="A777" s="4"/>
      <c r="B777" s="4"/>
      <c r="C777" s="390"/>
      <c r="D777" s="390"/>
      <c r="E777" s="391"/>
      <c r="F777" s="4"/>
      <c r="G777" s="4"/>
      <c r="H777" s="4"/>
      <c r="I777" s="4"/>
      <c r="J777" s="4"/>
      <c r="K777" s="4"/>
      <c r="L777" s="4"/>
      <c r="M777" s="4"/>
      <c r="N777" s="4"/>
    </row>
    <row r="778" spans="1:14">
      <c r="A778" s="4"/>
      <c r="B778" s="4"/>
      <c r="C778" s="390"/>
      <c r="D778" s="390"/>
      <c r="E778" s="391"/>
      <c r="F778" s="4"/>
      <c r="G778" s="4"/>
      <c r="H778" s="4"/>
      <c r="I778" s="4"/>
      <c r="J778" s="4"/>
      <c r="K778" s="4"/>
      <c r="L778" s="4"/>
      <c r="M778" s="4"/>
      <c r="N778" s="4"/>
    </row>
    <row r="779" spans="1:14">
      <c r="A779" s="4"/>
      <c r="B779" s="4"/>
      <c r="C779" s="390"/>
      <c r="D779" s="390"/>
      <c r="E779" s="391"/>
      <c r="F779" s="4"/>
      <c r="G779" s="4"/>
      <c r="H779" s="4"/>
      <c r="I779" s="4"/>
      <c r="J779" s="4"/>
      <c r="K779" s="4"/>
      <c r="L779" s="4"/>
      <c r="M779" s="4"/>
      <c r="N779" s="4"/>
    </row>
    <row r="780" spans="1:14">
      <c r="A780" s="4"/>
      <c r="B780" s="4"/>
      <c r="C780" s="390"/>
      <c r="D780" s="390"/>
      <c r="E780" s="391"/>
      <c r="F780" s="4"/>
      <c r="G780" s="4"/>
      <c r="H780" s="4"/>
      <c r="I780" s="4"/>
      <c r="J780" s="4"/>
      <c r="K780" s="4"/>
      <c r="L780" s="4"/>
      <c r="M780" s="4"/>
      <c r="N780" s="4"/>
    </row>
    <row r="781" spans="1:14">
      <c r="A781" s="4"/>
      <c r="B781" s="4"/>
      <c r="C781" s="390"/>
      <c r="D781" s="390"/>
      <c r="E781" s="391"/>
      <c r="F781" s="4"/>
      <c r="G781" s="4"/>
      <c r="H781" s="4"/>
      <c r="I781" s="4"/>
      <c r="J781" s="4"/>
      <c r="K781" s="4"/>
      <c r="L781" s="4"/>
      <c r="M781" s="4"/>
      <c r="N781" s="4"/>
    </row>
    <row r="782" spans="1:14">
      <c r="A782" s="4"/>
      <c r="B782" s="4"/>
      <c r="C782" s="390"/>
      <c r="D782" s="390"/>
      <c r="E782" s="391"/>
      <c r="F782" s="4"/>
      <c r="G782" s="4"/>
      <c r="H782" s="4"/>
      <c r="I782" s="4"/>
      <c r="J782" s="4"/>
      <c r="K782" s="4"/>
      <c r="L782" s="4"/>
      <c r="M782" s="4"/>
      <c r="N782" s="4"/>
    </row>
    <row r="783" spans="1:14">
      <c r="A783" s="4"/>
      <c r="B783" s="4"/>
      <c r="C783" s="390"/>
      <c r="D783" s="390"/>
      <c r="E783" s="391"/>
      <c r="F783" s="4"/>
      <c r="G783" s="4"/>
      <c r="H783" s="4"/>
      <c r="I783" s="4"/>
      <c r="J783" s="4"/>
      <c r="K783" s="4"/>
      <c r="L783" s="4"/>
      <c r="M783" s="4"/>
      <c r="N783" s="4"/>
    </row>
    <row r="784" spans="1:14">
      <c r="A784" s="4"/>
      <c r="B784" s="4"/>
      <c r="C784" s="390"/>
      <c r="D784" s="390"/>
      <c r="E784" s="391"/>
      <c r="F784" s="4"/>
      <c r="G784" s="4"/>
      <c r="H784" s="4"/>
      <c r="I784" s="4"/>
      <c r="J784" s="4"/>
      <c r="K784" s="4"/>
      <c r="L784" s="4"/>
      <c r="M784" s="4"/>
      <c r="N784" s="4"/>
    </row>
    <row r="785" spans="1:14">
      <c r="A785" s="4"/>
      <c r="B785" s="4"/>
      <c r="C785" s="390"/>
      <c r="D785" s="390"/>
      <c r="E785" s="391"/>
      <c r="F785" s="4"/>
      <c r="G785" s="4"/>
      <c r="H785" s="4"/>
      <c r="I785" s="4"/>
      <c r="J785" s="4"/>
      <c r="K785" s="4"/>
      <c r="L785" s="4"/>
      <c r="M785" s="4"/>
      <c r="N785" s="4"/>
    </row>
    <row r="786" spans="1:14">
      <c r="A786" s="4"/>
      <c r="B786" s="4"/>
      <c r="C786" s="390"/>
      <c r="D786" s="390"/>
      <c r="E786" s="391"/>
      <c r="F786" s="4"/>
      <c r="G786" s="4"/>
      <c r="H786" s="4"/>
      <c r="I786" s="4"/>
      <c r="J786" s="4"/>
      <c r="K786" s="4"/>
      <c r="L786" s="4"/>
      <c r="M786" s="4"/>
      <c r="N786" s="4"/>
    </row>
    <row r="787" spans="1:14">
      <c r="A787" s="4"/>
      <c r="B787" s="4"/>
      <c r="C787" s="390"/>
      <c r="D787" s="390"/>
      <c r="E787" s="391"/>
      <c r="F787" s="4"/>
      <c r="G787" s="4"/>
      <c r="H787" s="4"/>
      <c r="I787" s="4"/>
      <c r="J787" s="4"/>
      <c r="K787" s="4"/>
      <c r="L787" s="4"/>
      <c r="M787" s="4"/>
      <c r="N787" s="4"/>
    </row>
    <row r="788" spans="1:14">
      <c r="A788" s="4"/>
      <c r="B788" s="4"/>
      <c r="C788" s="390"/>
      <c r="D788" s="390"/>
      <c r="E788" s="391"/>
      <c r="F788" s="4"/>
      <c r="G788" s="4"/>
      <c r="H788" s="4"/>
      <c r="I788" s="4"/>
      <c r="J788" s="4"/>
      <c r="K788" s="4"/>
      <c r="L788" s="4"/>
      <c r="M788" s="4"/>
      <c r="N788" s="4"/>
    </row>
    <row r="789" spans="1:14">
      <c r="A789" s="4"/>
      <c r="B789" s="4"/>
      <c r="C789" s="390"/>
      <c r="D789" s="390"/>
      <c r="E789" s="391"/>
      <c r="F789" s="4"/>
      <c r="G789" s="4"/>
      <c r="H789" s="4"/>
      <c r="I789" s="4"/>
      <c r="J789" s="4"/>
      <c r="K789" s="4"/>
      <c r="L789" s="4"/>
      <c r="M789" s="4"/>
      <c r="N789" s="4"/>
    </row>
    <row r="790" spans="1:14">
      <c r="A790" s="4"/>
      <c r="B790" s="4"/>
      <c r="C790" s="390"/>
      <c r="D790" s="390"/>
      <c r="E790" s="391"/>
      <c r="F790" s="4"/>
      <c r="G790" s="4"/>
      <c r="H790" s="4"/>
      <c r="I790" s="4"/>
      <c r="J790" s="4"/>
      <c r="K790" s="4"/>
      <c r="L790" s="4"/>
      <c r="M790" s="4"/>
      <c r="N790" s="4"/>
    </row>
    <row r="791" spans="1:14">
      <c r="A791" s="4"/>
      <c r="B791" s="4"/>
      <c r="C791" s="390"/>
      <c r="D791" s="390"/>
      <c r="E791" s="391"/>
      <c r="F791" s="4"/>
      <c r="G791" s="4"/>
      <c r="H791" s="4"/>
      <c r="I791" s="4"/>
      <c r="J791" s="4"/>
      <c r="K791" s="4"/>
      <c r="L791" s="4"/>
      <c r="M791" s="4"/>
      <c r="N791" s="4"/>
    </row>
    <row r="792" spans="1:14">
      <c r="A792" s="4"/>
      <c r="B792" s="4"/>
      <c r="C792" s="390"/>
      <c r="D792" s="390"/>
      <c r="E792" s="391"/>
      <c r="F792" s="4"/>
      <c r="G792" s="4"/>
      <c r="H792" s="4"/>
      <c r="I792" s="4"/>
      <c r="J792" s="4"/>
      <c r="K792" s="4"/>
      <c r="L792" s="4"/>
      <c r="M792" s="4"/>
      <c r="N792" s="4"/>
    </row>
    <row r="793" spans="1:14">
      <c r="A793" s="4"/>
      <c r="B793" s="4"/>
      <c r="C793" s="390"/>
      <c r="D793" s="390"/>
      <c r="E793" s="391"/>
      <c r="F793" s="4"/>
      <c r="G793" s="4"/>
      <c r="H793" s="4"/>
      <c r="I793" s="4"/>
      <c r="J793" s="4"/>
      <c r="K793" s="4"/>
      <c r="L793" s="4"/>
      <c r="M793" s="4"/>
      <c r="N793" s="4"/>
    </row>
    <row r="794" spans="1:14">
      <c r="A794" s="4"/>
      <c r="B794" s="4"/>
      <c r="C794" s="390"/>
      <c r="D794" s="390"/>
      <c r="E794" s="391"/>
      <c r="F794" s="4"/>
      <c r="G794" s="4"/>
      <c r="H794" s="4"/>
      <c r="I794" s="4"/>
      <c r="J794" s="4"/>
      <c r="K794" s="4"/>
      <c r="L794" s="4"/>
      <c r="M794" s="4"/>
      <c r="N794" s="4"/>
    </row>
    <row r="795" spans="1:14">
      <c r="A795" s="4"/>
      <c r="B795" s="4"/>
      <c r="C795" s="390"/>
      <c r="D795" s="390"/>
      <c r="E795" s="391"/>
      <c r="F795" s="4"/>
      <c r="G795" s="4"/>
      <c r="H795" s="4"/>
      <c r="I795" s="4"/>
      <c r="J795" s="4"/>
      <c r="K795" s="4"/>
      <c r="L795" s="4"/>
      <c r="M795" s="4"/>
      <c r="N795" s="4"/>
    </row>
    <row r="796" spans="1:14">
      <c r="A796" s="4"/>
      <c r="B796" s="4"/>
      <c r="C796" s="390"/>
      <c r="D796" s="390"/>
      <c r="E796" s="391"/>
      <c r="F796" s="4"/>
      <c r="G796" s="4"/>
      <c r="H796" s="4"/>
      <c r="I796" s="4"/>
      <c r="J796" s="4"/>
      <c r="K796" s="4"/>
      <c r="L796" s="4"/>
      <c r="M796" s="4"/>
      <c r="N796" s="4"/>
    </row>
    <row r="797" spans="1:14">
      <c r="A797" s="4"/>
      <c r="B797" s="4"/>
      <c r="C797" s="390"/>
      <c r="D797" s="390"/>
      <c r="E797" s="391"/>
      <c r="F797" s="4"/>
      <c r="G797" s="4"/>
      <c r="H797" s="4"/>
      <c r="I797" s="4"/>
      <c r="J797" s="4"/>
      <c r="K797" s="4"/>
      <c r="L797" s="4"/>
      <c r="M797" s="4"/>
      <c r="N797" s="4"/>
    </row>
    <row r="798" spans="1:14">
      <c r="A798" s="4"/>
      <c r="B798" s="4"/>
      <c r="C798" s="390"/>
      <c r="D798" s="390"/>
      <c r="E798" s="391"/>
      <c r="F798" s="4"/>
      <c r="G798" s="4"/>
      <c r="H798" s="4"/>
      <c r="I798" s="4"/>
      <c r="J798" s="4"/>
      <c r="K798" s="4"/>
      <c r="L798" s="4"/>
      <c r="M798" s="4"/>
      <c r="N798" s="4"/>
    </row>
    <row r="799" spans="1:14">
      <c r="A799" s="4"/>
      <c r="B799" s="4"/>
      <c r="C799" s="390"/>
      <c r="D799" s="390"/>
      <c r="E799" s="391"/>
      <c r="F799" s="4"/>
      <c r="G799" s="4"/>
      <c r="H799" s="4"/>
      <c r="I799" s="4"/>
      <c r="J799" s="4"/>
      <c r="K799" s="4"/>
      <c r="L799" s="4"/>
      <c r="M799" s="4"/>
      <c r="N799" s="4"/>
    </row>
    <row r="800" spans="1:14">
      <c r="A800" s="4"/>
      <c r="B800" s="4"/>
      <c r="C800" s="390"/>
      <c r="D800" s="390"/>
      <c r="E800" s="391"/>
      <c r="F800" s="4"/>
      <c r="G800" s="4"/>
      <c r="H800" s="4"/>
      <c r="I800" s="4"/>
      <c r="J800" s="4"/>
      <c r="K800" s="4"/>
      <c r="L800" s="4"/>
      <c r="M800" s="4"/>
      <c r="N800" s="4"/>
    </row>
    <row r="801" spans="1:14">
      <c r="A801" s="4"/>
      <c r="B801" s="4"/>
      <c r="C801" s="390"/>
      <c r="D801" s="390"/>
      <c r="E801" s="391"/>
      <c r="F801" s="4"/>
      <c r="G801" s="4"/>
      <c r="H801" s="4"/>
      <c r="I801" s="4"/>
      <c r="J801" s="4"/>
      <c r="K801" s="4"/>
      <c r="L801" s="4"/>
      <c r="M801" s="4"/>
      <c r="N801" s="4"/>
    </row>
    <row r="802" spans="1:14">
      <c r="A802" s="4"/>
      <c r="B802" s="4"/>
      <c r="C802" s="390"/>
      <c r="D802" s="390"/>
      <c r="E802" s="391"/>
      <c r="F802" s="4"/>
      <c r="G802" s="4"/>
      <c r="H802" s="4"/>
      <c r="I802" s="4"/>
      <c r="J802" s="4"/>
      <c r="K802" s="4"/>
      <c r="L802" s="4"/>
      <c r="M802" s="4"/>
      <c r="N802" s="4"/>
    </row>
    <row r="803" spans="1:14">
      <c r="A803" s="4"/>
      <c r="B803" s="4"/>
      <c r="C803" s="390"/>
      <c r="D803" s="390"/>
      <c r="E803" s="391"/>
      <c r="F803" s="4"/>
      <c r="G803" s="4"/>
      <c r="H803" s="4"/>
      <c r="I803" s="4"/>
      <c r="J803" s="4"/>
      <c r="K803" s="4"/>
      <c r="L803" s="4"/>
      <c r="M803" s="4"/>
      <c r="N803" s="4"/>
    </row>
    <row r="804" spans="1:14">
      <c r="A804" s="4"/>
      <c r="B804" s="4"/>
      <c r="C804" s="390"/>
      <c r="D804" s="390"/>
      <c r="E804" s="391"/>
      <c r="F804" s="4"/>
      <c r="G804" s="4"/>
      <c r="H804" s="4"/>
      <c r="I804" s="4"/>
      <c r="J804" s="4"/>
      <c r="K804" s="4"/>
      <c r="L804" s="4"/>
      <c r="M804" s="4"/>
      <c r="N804" s="4"/>
    </row>
    <row r="805" spans="1:14">
      <c r="A805" s="4"/>
      <c r="B805" s="4"/>
      <c r="C805" s="390"/>
      <c r="D805" s="390"/>
      <c r="E805" s="391"/>
      <c r="F805" s="4"/>
      <c r="G805" s="4"/>
      <c r="H805" s="4"/>
      <c r="I805" s="4"/>
      <c r="J805" s="4"/>
      <c r="K805" s="4"/>
      <c r="L805" s="4"/>
      <c r="M805" s="4"/>
      <c r="N805" s="4"/>
    </row>
    <row r="806" spans="1:14">
      <c r="A806" s="4"/>
      <c r="B806" s="4"/>
      <c r="C806" s="390"/>
      <c r="D806" s="390"/>
      <c r="E806" s="391"/>
      <c r="F806" s="4"/>
      <c r="G806" s="4"/>
      <c r="H806" s="4"/>
      <c r="I806" s="4"/>
      <c r="J806" s="4"/>
      <c r="K806" s="4"/>
      <c r="L806" s="4"/>
      <c r="M806" s="4"/>
      <c r="N806" s="4"/>
    </row>
    <row r="807" spans="1:14">
      <c r="A807" s="4"/>
      <c r="B807" s="4"/>
      <c r="C807" s="390"/>
      <c r="D807" s="390"/>
      <c r="E807" s="391"/>
      <c r="F807" s="4"/>
      <c r="G807" s="4"/>
      <c r="H807" s="4"/>
      <c r="I807" s="4"/>
      <c r="J807" s="4"/>
      <c r="K807" s="4"/>
      <c r="L807" s="4"/>
      <c r="M807" s="4"/>
      <c r="N807" s="4"/>
    </row>
    <row r="808" spans="1:14">
      <c r="A808" s="4"/>
      <c r="B808" s="4"/>
      <c r="C808" s="390"/>
      <c r="D808" s="390"/>
      <c r="E808" s="391"/>
      <c r="F808" s="4"/>
      <c r="G808" s="4"/>
      <c r="H808" s="4"/>
      <c r="I808" s="4"/>
      <c r="J808" s="4"/>
      <c r="K808" s="4"/>
      <c r="L808" s="4"/>
      <c r="M808" s="4"/>
      <c r="N808" s="4"/>
    </row>
    <row r="809" spans="1:14">
      <c r="A809" s="4"/>
      <c r="B809" s="4"/>
      <c r="C809" s="390"/>
      <c r="D809" s="390"/>
      <c r="E809" s="391"/>
      <c r="F809" s="4"/>
      <c r="G809" s="4"/>
      <c r="H809" s="4"/>
      <c r="I809" s="4"/>
      <c r="J809" s="4"/>
      <c r="K809" s="4"/>
      <c r="L809" s="4"/>
      <c r="M809" s="4"/>
      <c r="N809" s="4"/>
    </row>
    <row r="810" spans="1:14">
      <c r="A810" s="4"/>
      <c r="B810" s="4"/>
      <c r="C810" s="390"/>
      <c r="D810" s="390"/>
      <c r="E810" s="391"/>
      <c r="F810" s="4"/>
      <c r="G810" s="4"/>
      <c r="H810" s="4"/>
      <c r="I810" s="4"/>
      <c r="J810" s="4"/>
      <c r="K810" s="4"/>
      <c r="L810" s="4"/>
      <c r="M810" s="4"/>
      <c r="N810" s="4"/>
    </row>
    <row r="811" spans="1:14">
      <c r="A811" s="4"/>
      <c r="B811" s="4"/>
      <c r="C811" s="390"/>
      <c r="D811" s="390"/>
      <c r="E811" s="391"/>
      <c r="F811" s="4"/>
      <c r="G811" s="4"/>
      <c r="H811" s="4"/>
      <c r="I811" s="4"/>
      <c r="J811" s="4"/>
      <c r="K811" s="4"/>
      <c r="L811" s="4"/>
      <c r="M811" s="4"/>
      <c r="N811" s="4"/>
    </row>
    <row r="812" spans="1:14">
      <c r="A812" s="4"/>
      <c r="B812" s="4"/>
      <c r="C812" s="390"/>
      <c r="D812" s="390"/>
      <c r="E812" s="391"/>
      <c r="F812" s="4"/>
      <c r="G812" s="4"/>
      <c r="H812" s="4"/>
      <c r="I812" s="4"/>
      <c r="J812" s="4"/>
      <c r="K812" s="4"/>
      <c r="L812" s="4"/>
      <c r="M812" s="4"/>
      <c r="N812" s="4"/>
    </row>
    <row r="813" spans="1:14">
      <c r="A813" s="4"/>
      <c r="B813" s="4"/>
      <c r="C813" s="390"/>
      <c r="D813" s="390"/>
      <c r="E813" s="391"/>
      <c r="F813" s="4"/>
      <c r="G813" s="4"/>
      <c r="H813" s="4"/>
      <c r="I813" s="4"/>
      <c r="J813" s="4"/>
      <c r="K813" s="4"/>
      <c r="L813" s="4"/>
      <c r="M813" s="4"/>
      <c r="N813" s="4"/>
    </row>
    <row r="814" spans="1:14">
      <c r="A814" s="4"/>
      <c r="B814" s="4"/>
      <c r="C814" s="390"/>
      <c r="D814" s="390"/>
      <c r="E814" s="391"/>
      <c r="F814" s="4"/>
      <c r="G814" s="4"/>
      <c r="H814" s="4"/>
      <c r="I814" s="4"/>
      <c r="J814" s="4"/>
      <c r="K814" s="4"/>
      <c r="L814" s="4"/>
      <c r="M814" s="4"/>
      <c r="N814" s="4"/>
    </row>
    <row r="815" spans="1:14">
      <c r="A815" s="4"/>
      <c r="B815" s="4"/>
      <c r="C815" s="390"/>
      <c r="D815" s="390"/>
      <c r="E815" s="391"/>
      <c r="F815" s="4"/>
      <c r="G815" s="4"/>
      <c r="H815" s="4"/>
      <c r="I815" s="4"/>
      <c r="J815" s="4"/>
      <c r="K815" s="4"/>
      <c r="L815" s="4"/>
      <c r="M815" s="4"/>
      <c r="N815" s="4"/>
    </row>
    <row r="816" spans="1:14">
      <c r="A816" s="4"/>
      <c r="B816" s="4"/>
      <c r="C816" s="390"/>
      <c r="D816" s="390"/>
      <c r="E816" s="391"/>
      <c r="F816" s="4"/>
      <c r="G816" s="4"/>
      <c r="H816" s="4"/>
      <c r="I816" s="4"/>
      <c r="J816" s="4"/>
      <c r="K816" s="4"/>
      <c r="L816" s="4"/>
      <c r="M816" s="4"/>
      <c r="N816" s="4"/>
    </row>
    <row r="817" spans="1:14">
      <c r="A817" s="4"/>
      <c r="B817" s="4"/>
      <c r="C817" s="390"/>
      <c r="D817" s="390"/>
      <c r="E817" s="391"/>
      <c r="F817" s="4"/>
      <c r="G817" s="4"/>
      <c r="H817" s="4"/>
      <c r="I817" s="4"/>
      <c r="J817" s="4"/>
      <c r="K817" s="4"/>
      <c r="L817" s="4"/>
      <c r="M817" s="4"/>
      <c r="N817" s="4"/>
    </row>
    <row r="818" spans="1:14">
      <c r="A818" s="4"/>
      <c r="B818" s="4"/>
      <c r="C818" s="390"/>
      <c r="D818" s="390"/>
      <c r="E818" s="391"/>
      <c r="F818" s="4"/>
      <c r="G818" s="4"/>
      <c r="H818" s="4"/>
      <c r="I818" s="4"/>
      <c r="J818" s="4"/>
      <c r="K818" s="4"/>
      <c r="L818" s="4"/>
      <c r="M818" s="4"/>
      <c r="N818" s="4"/>
    </row>
    <row r="819" spans="1:14">
      <c r="A819" s="4"/>
      <c r="B819" s="4"/>
      <c r="C819" s="390"/>
      <c r="D819" s="390"/>
      <c r="E819" s="391"/>
      <c r="F819" s="4"/>
      <c r="G819" s="4"/>
      <c r="H819" s="4"/>
      <c r="I819" s="4"/>
      <c r="J819" s="4"/>
      <c r="K819" s="4"/>
      <c r="L819" s="4"/>
      <c r="M819" s="4"/>
      <c r="N819" s="4"/>
    </row>
    <row r="820" spans="1:14">
      <c r="A820" s="4"/>
      <c r="B820" s="4"/>
      <c r="C820" s="390"/>
      <c r="D820" s="390"/>
      <c r="E820" s="391"/>
      <c r="F820" s="4"/>
      <c r="G820" s="4"/>
      <c r="H820" s="4"/>
      <c r="I820" s="4"/>
      <c r="J820" s="4"/>
      <c r="K820" s="4"/>
      <c r="L820" s="4"/>
      <c r="M820" s="4"/>
      <c r="N820" s="4"/>
    </row>
    <row r="821" spans="1:14">
      <c r="A821" s="4"/>
      <c r="B821" s="4"/>
      <c r="C821" s="390"/>
      <c r="D821" s="390"/>
      <c r="E821" s="391"/>
      <c r="F821" s="4"/>
      <c r="G821" s="4"/>
      <c r="H821" s="4"/>
      <c r="I821" s="4"/>
      <c r="J821" s="4"/>
      <c r="K821" s="4"/>
      <c r="L821" s="4"/>
      <c r="M821" s="4"/>
      <c r="N821" s="4"/>
    </row>
    <row r="822" spans="1:14">
      <c r="A822" s="4"/>
      <c r="B822" s="4"/>
      <c r="C822" s="390"/>
      <c r="D822" s="390"/>
      <c r="E822" s="391"/>
      <c r="F822" s="4"/>
      <c r="G822" s="4"/>
      <c r="H822" s="4"/>
      <c r="I822" s="4"/>
      <c r="J822" s="4"/>
      <c r="K822" s="4"/>
      <c r="L822" s="4"/>
      <c r="M822" s="4"/>
      <c r="N822" s="4"/>
    </row>
    <row r="823" spans="1:14">
      <c r="A823" s="4"/>
      <c r="B823" s="4"/>
      <c r="C823" s="390"/>
      <c r="D823" s="390"/>
      <c r="E823" s="391"/>
      <c r="F823" s="4"/>
      <c r="G823" s="4"/>
      <c r="H823" s="4"/>
      <c r="I823" s="4"/>
      <c r="J823" s="4"/>
      <c r="K823" s="4"/>
      <c r="L823" s="4"/>
      <c r="M823" s="4"/>
      <c r="N823" s="4"/>
    </row>
    <row r="824" spans="1:14">
      <c r="A824" s="4"/>
      <c r="B824" s="4"/>
      <c r="C824" s="390"/>
      <c r="D824" s="390"/>
      <c r="E824" s="391"/>
      <c r="F824" s="4"/>
      <c r="G824" s="4"/>
      <c r="H824" s="4"/>
      <c r="I824" s="4"/>
      <c r="J824" s="4"/>
      <c r="K824" s="4"/>
      <c r="L824" s="4"/>
      <c r="M824" s="4"/>
      <c r="N824" s="4"/>
    </row>
    <row r="825" spans="1:14">
      <c r="A825" s="4"/>
      <c r="B825" s="4"/>
      <c r="C825" s="390"/>
      <c r="D825" s="390"/>
      <c r="E825" s="391"/>
      <c r="F825" s="4"/>
      <c r="G825" s="4"/>
      <c r="H825" s="4"/>
      <c r="I825" s="4"/>
      <c r="J825" s="4"/>
      <c r="K825" s="4"/>
      <c r="L825" s="4"/>
      <c r="M825" s="4"/>
      <c r="N825" s="4"/>
    </row>
    <row r="826" spans="1:14">
      <c r="A826" s="4"/>
      <c r="B826" s="4"/>
      <c r="C826" s="390"/>
      <c r="D826" s="390"/>
      <c r="E826" s="391"/>
      <c r="F826" s="4"/>
      <c r="G826" s="4"/>
      <c r="H826" s="4"/>
      <c r="I826" s="4"/>
      <c r="J826" s="4"/>
      <c r="K826" s="4"/>
      <c r="L826" s="4"/>
      <c r="M826" s="4"/>
      <c r="N826" s="4"/>
    </row>
    <row r="827" spans="1:14">
      <c r="A827" s="4"/>
      <c r="B827" s="4"/>
      <c r="C827" s="390"/>
      <c r="D827" s="390"/>
      <c r="E827" s="391"/>
      <c r="F827" s="4"/>
      <c r="G827" s="4"/>
      <c r="H827" s="4"/>
      <c r="I827" s="4"/>
      <c r="J827" s="4"/>
      <c r="K827" s="4"/>
      <c r="L827" s="4"/>
      <c r="M827" s="4"/>
      <c r="N827" s="4"/>
    </row>
    <row r="828" spans="1:14">
      <c r="A828" s="4"/>
      <c r="B828" s="4"/>
      <c r="C828" s="390"/>
      <c r="D828" s="390"/>
      <c r="E828" s="391"/>
      <c r="F828" s="4"/>
      <c r="G828" s="4"/>
      <c r="H828" s="4"/>
      <c r="I828" s="4"/>
      <c r="J828" s="4"/>
      <c r="K828" s="4"/>
      <c r="L828" s="4"/>
      <c r="M828" s="4"/>
      <c r="N828" s="4"/>
    </row>
    <row r="829" spans="1:14">
      <c r="A829" s="4"/>
      <c r="B829" s="4"/>
      <c r="C829" s="390"/>
      <c r="D829" s="390"/>
      <c r="E829" s="391"/>
      <c r="F829" s="4"/>
      <c r="G829" s="4"/>
      <c r="H829" s="4"/>
      <c r="I829" s="4"/>
      <c r="J829" s="4"/>
      <c r="K829" s="4"/>
      <c r="L829" s="4"/>
      <c r="M829" s="4"/>
      <c r="N829" s="4"/>
    </row>
    <row r="830" spans="1:14">
      <c r="A830" s="4"/>
      <c r="B830" s="4"/>
      <c r="C830" s="390"/>
      <c r="D830" s="390"/>
      <c r="E830" s="391"/>
      <c r="F830" s="4"/>
      <c r="G830" s="4"/>
      <c r="H830" s="4"/>
      <c r="I830" s="4"/>
      <c r="J830" s="4"/>
      <c r="K830" s="4"/>
      <c r="L830" s="4"/>
      <c r="M830" s="4"/>
      <c r="N830" s="4"/>
    </row>
    <row r="831" spans="1:14">
      <c r="A831" s="4"/>
      <c r="B831" s="4"/>
      <c r="C831" s="390"/>
      <c r="D831" s="390"/>
      <c r="E831" s="391"/>
      <c r="F831" s="4"/>
      <c r="G831" s="4"/>
      <c r="H831" s="4"/>
      <c r="I831" s="4"/>
      <c r="J831" s="4"/>
      <c r="K831" s="4"/>
      <c r="L831" s="4"/>
      <c r="M831" s="4"/>
      <c r="N831" s="4"/>
    </row>
    <row r="832" spans="1:14">
      <c r="A832" s="4"/>
      <c r="B832" s="4"/>
      <c r="C832" s="390"/>
      <c r="D832" s="390"/>
      <c r="E832" s="391"/>
      <c r="F832" s="4"/>
      <c r="G832" s="4"/>
      <c r="H832" s="4"/>
      <c r="I832" s="4"/>
      <c r="J832" s="4"/>
      <c r="K832" s="4"/>
      <c r="L832" s="4"/>
      <c r="M832" s="4"/>
      <c r="N832" s="4"/>
    </row>
    <row r="833" spans="1:14">
      <c r="A833" s="4"/>
      <c r="B833" s="4"/>
      <c r="C833" s="390"/>
      <c r="D833" s="390"/>
      <c r="E833" s="391"/>
      <c r="F833" s="4"/>
      <c r="G833" s="4"/>
      <c r="H833" s="4"/>
      <c r="I833" s="4"/>
      <c r="J833" s="4"/>
      <c r="K833" s="4"/>
      <c r="L833" s="4"/>
      <c r="M833" s="4"/>
      <c r="N833" s="4"/>
    </row>
    <row r="834" spans="1:14">
      <c r="A834" s="4"/>
      <c r="B834" s="4"/>
      <c r="C834" s="390"/>
      <c r="D834" s="390"/>
      <c r="E834" s="391"/>
      <c r="F834" s="4"/>
      <c r="G834" s="4"/>
      <c r="H834" s="4"/>
      <c r="I834" s="4"/>
      <c r="J834" s="4"/>
      <c r="K834" s="4"/>
      <c r="L834" s="4"/>
      <c r="M834" s="4"/>
      <c r="N834" s="4"/>
    </row>
    <row r="835" spans="1:14">
      <c r="A835" s="4"/>
      <c r="B835" s="4"/>
      <c r="C835" s="390"/>
      <c r="D835" s="390"/>
      <c r="E835" s="391"/>
      <c r="F835" s="4"/>
      <c r="G835" s="4"/>
      <c r="H835" s="4"/>
      <c r="I835" s="4"/>
      <c r="J835" s="4"/>
      <c r="K835" s="4"/>
      <c r="L835" s="4"/>
      <c r="M835" s="4"/>
      <c r="N835" s="4"/>
    </row>
    <row r="836" spans="1:14">
      <c r="A836" s="4"/>
      <c r="B836" s="4"/>
      <c r="C836" s="390"/>
      <c r="D836" s="390"/>
      <c r="E836" s="391"/>
      <c r="F836" s="4"/>
      <c r="G836" s="4"/>
      <c r="H836" s="4"/>
      <c r="I836" s="4"/>
      <c r="J836" s="4"/>
      <c r="K836" s="4"/>
      <c r="L836" s="4"/>
      <c r="M836" s="4"/>
      <c r="N836" s="4"/>
    </row>
    <row r="837" spans="1:14">
      <c r="A837" s="4"/>
      <c r="B837" s="4"/>
      <c r="C837" s="390"/>
      <c r="D837" s="390"/>
      <c r="E837" s="391"/>
      <c r="F837" s="4"/>
      <c r="G837" s="4"/>
      <c r="H837" s="4"/>
      <c r="I837" s="4"/>
      <c r="J837" s="4"/>
      <c r="K837" s="4"/>
      <c r="L837" s="4"/>
      <c r="M837" s="4"/>
      <c r="N837" s="4"/>
    </row>
    <row r="838" spans="1:14">
      <c r="A838" s="4"/>
      <c r="B838" s="4"/>
      <c r="C838" s="390"/>
      <c r="D838" s="390"/>
      <c r="E838" s="391"/>
      <c r="F838" s="4"/>
      <c r="G838" s="4"/>
      <c r="H838" s="4"/>
      <c r="I838" s="4"/>
      <c r="J838" s="4"/>
      <c r="K838" s="4"/>
      <c r="L838" s="4"/>
      <c r="M838" s="4"/>
      <c r="N838" s="4"/>
    </row>
    <row r="839" spans="1:14">
      <c r="A839" s="4"/>
      <c r="B839" s="4"/>
      <c r="C839" s="390"/>
      <c r="D839" s="390"/>
      <c r="E839" s="391"/>
      <c r="F839" s="4"/>
      <c r="G839" s="4"/>
      <c r="H839" s="4"/>
      <c r="I839" s="4"/>
      <c r="J839" s="4"/>
      <c r="K839" s="4"/>
      <c r="L839" s="4"/>
      <c r="M839" s="4"/>
      <c r="N839" s="4"/>
    </row>
    <row r="840" spans="1:14">
      <c r="A840" s="4"/>
      <c r="B840" s="4"/>
      <c r="C840" s="390"/>
      <c r="D840" s="390"/>
      <c r="E840" s="391"/>
      <c r="F840" s="4"/>
      <c r="G840" s="4"/>
      <c r="H840" s="4"/>
      <c r="I840" s="4"/>
      <c r="J840" s="4"/>
      <c r="K840" s="4"/>
      <c r="L840" s="4"/>
      <c r="M840" s="4"/>
      <c r="N840" s="4"/>
    </row>
    <row r="841" spans="1:14">
      <c r="A841" s="4"/>
      <c r="B841" s="4"/>
      <c r="C841" s="390"/>
      <c r="D841" s="390"/>
      <c r="E841" s="391"/>
      <c r="F841" s="4"/>
      <c r="G841" s="4"/>
      <c r="H841" s="4"/>
      <c r="I841" s="4"/>
      <c r="J841" s="4"/>
      <c r="K841" s="4"/>
      <c r="L841" s="4"/>
      <c r="M841" s="4"/>
      <c r="N841" s="4"/>
    </row>
    <row r="842" spans="1:14">
      <c r="A842" s="4"/>
      <c r="B842" s="4"/>
      <c r="C842" s="390"/>
      <c r="D842" s="390"/>
      <c r="E842" s="391"/>
      <c r="F842" s="4"/>
      <c r="G842" s="4"/>
      <c r="H842" s="4"/>
      <c r="I842" s="4"/>
      <c r="J842" s="4"/>
      <c r="K842" s="4"/>
      <c r="L842" s="4"/>
      <c r="M842" s="4"/>
      <c r="N842" s="4"/>
    </row>
    <row r="843" spans="1:14">
      <c r="A843" s="4"/>
      <c r="B843" s="4"/>
      <c r="C843" s="390"/>
      <c r="D843" s="390"/>
      <c r="E843" s="391"/>
      <c r="F843" s="4"/>
      <c r="G843" s="4"/>
      <c r="H843" s="4"/>
      <c r="I843" s="4"/>
      <c r="J843" s="4"/>
      <c r="K843" s="4"/>
      <c r="L843" s="4"/>
      <c r="M843" s="4"/>
      <c r="N843" s="4"/>
    </row>
    <row r="844" spans="1:14">
      <c r="A844" s="4"/>
      <c r="B844" s="4"/>
      <c r="C844" s="390"/>
      <c r="D844" s="390"/>
      <c r="E844" s="391"/>
      <c r="F844" s="4"/>
      <c r="G844" s="4"/>
      <c r="H844" s="4"/>
      <c r="I844" s="4"/>
      <c r="J844" s="4"/>
      <c r="K844" s="4"/>
      <c r="L844" s="4"/>
      <c r="M844" s="4"/>
      <c r="N844" s="4"/>
    </row>
    <row r="845" spans="1:14">
      <c r="A845" s="4"/>
      <c r="B845" s="4"/>
      <c r="C845" s="390"/>
      <c r="D845" s="390"/>
      <c r="E845" s="391"/>
      <c r="F845" s="4"/>
      <c r="G845" s="4"/>
      <c r="H845" s="4"/>
      <c r="I845" s="4"/>
      <c r="J845" s="4"/>
      <c r="K845" s="4"/>
      <c r="L845" s="4"/>
      <c r="M845" s="4"/>
      <c r="N845" s="4"/>
    </row>
    <row r="846" spans="1:14">
      <c r="A846" s="4"/>
      <c r="B846" s="4"/>
      <c r="C846" s="390"/>
      <c r="D846" s="390"/>
      <c r="E846" s="391"/>
      <c r="F846" s="4"/>
      <c r="G846" s="4"/>
      <c r="H846" s="4"/>
      <c r="I846" s="4"/>
      <c r="J846" s="4"/>
      <c r="K846" s="4"/>
      <c r="L846" s="4"/>
      <c r="M846" s="4"/>
      <c r="N846" s="4"/>
    </row>
    <row r="847" spans="1:14">
      <c r="A847" s="4"/>
      <c r="B847" s="4"/>
      <c r="C847" s="390"/>
      <c r="D847" s="390"/>
      <c r="E847" s="391"/>
      <c r="F847" s="4"/>
      <c r="G847" s="4"/>
      <c r="H847" s="4"/>
      <c r="I847" s="4"/>
      <c r="J847" s="4"/>
      <c r="K847" s="4"/>
      <c r="L847" s="4"/>
      <c r="M847" s="4"/>
      <c r="N847" s="4"/>
    </row>
    <row r="848" spans="1:14">
      <c r="A848" s="4"/>
      <c r="B848" s="4"/>
      <c r="C848" s="390"/>
      <c r="D848" s="390"/>
      <c r="E848" s="391"/>
      <c r="F848" s="4"/>
      <c r="G848" s="4"/>
      <c r="H848" s="4"/>
      <c r="I848" s="4"/>
      <c r="J848" s="4"/>
      <c r="K848" s="4"/>
      <c r="L848" s="4"/>
      <c r="M848" s="4"/>
      <c r="N848" s="4"/>
    </row>
    <row r="849" spans="1:14">
      <c r="A849" s="4"/>
      <c r="B849" s="4"/>
      <c r="C849" s="390"/>
      <c r="D849" s="390"/>
      <c r="E849" s="391"/>
      <c r="F849" s="4"/>
      <c r="G849" s="4"/>
      <c r="H849" s="4"/>
      <c r="I849" s="4"/>
      <c r="J849" s="4"/>
      <c r="K849" s="4"/>
      <c r="L849" s="4"/>
      <c r="M849" s="4"/>
      <c r="N849" s="4"/>
    </row>
    <row r="850" spans="1:14">
      <c r="A850" s="4"/>
      <c r="B850" s="4"/>
      <c r="C850" s="390"/>
      <c r="D850" s="390"/>
      <c r="E850" s="391"/>
      <c r="F850" s="4"/>
      <c r="G850" s="4"/>
      <c r="H850" s="4"/>
      <c r="I850" s="4"/>
      <c r="J850" s="4"/>
      <c r="K850" s="4"/>
      <c r="L850" s="4"/>
      <c r="M850" s="4"/>
      <c r="N850" s="4"/>
    </row>
    <row r="851" spans="1:14">
      <c r="A851" s="4"/>
      <c r="B851" s="4"/>
      <c r="C851" s="390"/>
      <c r="D851" s="390"/>
      <c r="E851" s="391"/>
      <c r="F851" s="4"/>
      <c r="G851" s="4"/>
      <c r="H851" s="4"/>
      <c r="I851" s="4"/>
      <c r="J851" s="4"/>
      <c r="K851" s="4"/>
      <c r="L851" s="4"/>
      <c r="M851" s="4"/>
      <c r="N851" s="4"/>
    </row>
    <row r="852" spans="1:14">
      <c r="A852" s="4"/>
      <c r="B852" s="4"/>
      <c r="C852" s="390"/>
      <c r="D852" s="390"/>
      <c r="E852" s="391"/>
      <c r="F852" s="4"/>
      <c r="G852" s="4"/>
      <c r="H852" s="4"/>
      <c r="I852" s="4"/>
      <c r="J852" s="4"/>
      <c r="K852" s="4"/>
      <c r="L852" s="4"/>
      <c r="M852" s="4"/>
      <c r="N852" s="4"/>
    </row>
    <row r="853" spans="1:14">
      <c r="A853" s="4"/>
      <c r="B853" s="4"/>
      <c r="C853" s="390"/>
      <c r="D853" s="390"/>
      <c r="E853" s="391"/>
      <c r="F853" s="4"/>
      <c r="G853" s="4"/>
      <c r="H853" s="4"/>
      <c r="I853" s="4"/>
      <c r="J853" s="4"/>
      <c r="K853" s="4"/>
      <c r="L853" s="4"/>
      <c r="M853" s="4"/>
      <c r="N853" s="4"/>
    </row>
    <row r="854" spans="1:14">
      <c r="A854" s="4"/>
      <c r="B854" s="4"/>
      <c r="C854" s="390"/>
      <c r="D854" s="390"/>
      <c r="E854" s="391"/>
      <c r="F854" s="4"/>
      <c r="G854" s="4"/>
      <c r="H854" s="4"/>
      <c r="I854" s="4"/>
      <c r="J854" s="4"/>
      <c r="K854" s="4"/>
      <c r="L854" s="4"/>
      <c r="M854" s="4"/>
      <c r="N854" s="4"/>
    </row>
    <row r="855" spans="1:14">
      <c r="A855" s="4"/>
      <c r="B855" s="4"/>
      <c r="C855" s="390"/>
      <c r="D855" s="390"/>
      <c r="E855" s="391"/>
      <c r="F855" s="4"/>
      <c r="G855" s="4"/>
      <c r="H855" s="4"/>
      <c r="I855" s="4"/>
      <c r="J855" s="4"/>
      <c r="K855" s="4"/>
      <c r="L855" s="4"/>
      <c r="M855" s="4"/>
      <c r="N855" s="4"/>
    </row>
    <row r="856" spans="1:14">
      <c r="A856" s="4"/>
      <c r="B856" s="4"/>
      <c r="C856" s="390"/>
      <c r="D856" s="390"/>
      <c r="E856" s="391"/>
      <c r="F856" s="4"/>
      <c r="G856" s="4"/>
      <c r="H856" s="4"/>
      <c r="I856" s="4"/>
      <c r="J856" s="4"/>
      <c r="K856" s="4"/>
      <c r="L856" s="4"/>
      <c r="M856" s="4"/>
      <c r="N856" s="4"/>
    </row>
    <row r="857" spans="1:14">
      <c r="A857" s="4"/>
      <c r="B857" s="4"/>
      <c r="C857" s="390"/>
      <c r="D857" s="390"/>
      <c r="E857" s="391"/>
      <c r="F857" s="4"/>
      <c r="G857" s="4"/>
      <c r="H857" s="4"/>
      <c r="I857" s="4"/>
      <c r="J857" s="4"/>
      <c r="K857" s="4"/>
      <c r="L857" s="4"/>
      <c r="M857" s="4"/>
      <c r="N857" s="4"/>
    </row>
    <row r="858" spans="1:14">
      <c r="A858" s="4"/>
      <c r="B858" s="4"/>
      <c r="C858" s="390"/>
      <c r="D858" s="390"/>
      <c r="E858" s="391"/>
      <c r="F858" s="4"/>
      <c r="G858" s="4"/>
      <c r="H858" s="4"/>
      <c r="I858" s="4"/>
      <c r="J858" s="4"/>
      <c r="K858" s="4"/>
      <c r="L858" s="4"/>
      <c r="M858" s="4"/>
      <c r="N858" s="4"/>
    </row>
    <row r="859" spans="1:14">
      <c r="A859" s="4"/>
      <c r="B859" s="4"/>
      <c r="C859" s="390"/>
      <c r="D859" s="390"/>
      <c r="E859" s="391"/>
      <c r="F859" s="4"/>
      <c r="G859" s="4"/>
      <c r="H859" s="4"/>
      <c r="I859" s="4"/>
      <c r="J859" s="4"/>
      <c r="K859" s="4"/>
      <c r="L859" s="4"/>
      <c r="M859" s="4"/>
      <c r="N859" s="4"/>
    </row>
    <row r="860" spans="1:14">
      <c r="A860" s="4"/>
      <c r="B860" s="4"/>
      <c r="C860" s="390"/>
      <c r="D860" s="390"/>
      <c r="E860" s="391"/>
      <c r="F860" s="4"/>
      <c r="G860" s="4"/>
      <c r="H860" s="4"/>
      <c r="I860" s="4"/>
      <c r="J860" s="4"/>
      <c r="K860" s="4"/>
      <c r="L860" s="4"/>
      <c r="M860" s="4"/>
      <c r="N860" s="4"/>
    </row>
    <row r="861" spans="1:14">
      <c r="A861" s="4"/>
      <c r="B861" s="4"/>
      <c r="C861" s="390"/>
      <c r="D861" s="390"/>
      <c r="E861" s="391"/>
      <c r="F861" s="4"/>
      <c r="G861" s="4"/>
      <c r="H861" s="4"/>
      <c r="I861" s="4"/>
      <c r="J861" s="4"/>
      <c r="K861" s="4"/>
      <c r="L861" s="4"/>
      <c r="M861" s="4"/>
      <c r="N861" s="4"/>
    </row>
    <row r="862" spans="1:14">
      <c r="A862" s="4"/>
      <c r="B862" s="4"/>
      <c r="C862" s="390"/>
      <c r="D862" s="390"/>
      <c r="E862" s="391"/>
      <c r="F862" s="4"/>
      <c r="G862" s="4"/>
      <c r="H862" s="4"/>
      <c r="I862" s="4"/>
      <c r="J862" s="4"/>
      <c r="K862" s="4"/>
      <c r="L862" s="4"/>
      <c r="M862" s="4"/>
      <c r="N862" s="4"/>
    </row>
    <row r="863" spans="1:14">
      <c r="A863" s="4"/>
      <c r="B863" s="4"/>
      <c r="C863" s="390"/>
      <c r="D863" s="390"/>
      <c r="E863" s="391"/>
      <c r="F863" s="4"/>
      <c r="G863" s="4"/>
      <c r="H863" s="4"/>
      <c r="I863" s="4"/>
      <c r="J863" s="4"/>
      <c r="K863" s="4"/>
      <c r="L863" s="4"/>
      <c r="M863" s="4"/>
      <c r="N863" s="4"/>
    </row>
  </sheetData>
  <sheetProtection algorithmName="SHA-512" hashValue="j+3VRK/nDre5ommoMW3KWD+c3bDA7+JgPR3oz4R4Yq1aXFKvm+IRpZP0HqVmmUycjQ4I0tLrIR67CrkOY0xOhQ==" saltValue="XS0lynRe4nHiEZ+FcbJPcg==" spinCount="100000" sheet="1" selectLockedCells="1" selectUnlockedCells="1"/>
  <mergeCells count="26">
    <mergeCell ref="I4:J4"/>
    <mergeCell ref="K4:L4"/>
    <mergeCell ref="D3:F3"/>
    <mergeCell ref="A37:D40"/>
    <mergeCell ref="G4:H4"/>
    <mergeCell ref="B22:B27"/>
    <mergeCell ref="C22:C27"/>
    <mergeCell ref="B28:B30"/>
    <mergeCell ref="C28:C30"/>
    <mergeCell ref="C34:C35"/>
    <mergeCell ref="A1:F1"/>
    <mergeCell ref="A3:C3"/>
    <mergeCell ref="A4:C5"/>
    <mergeCell ref="D4:E5"/>
    <mergeCell ref="B34:B35"/>
    <mergeCell ref="A32:A35"/>
    <mergeCell ref="A6:A8"/>
    <mergeCell ref="B6:B8"/>
    <mergeCell ref="C6:C8"/>
    <mergeCell ref="A9:A31"/>
    <mergeCell ref="B9:B13"/>
    <mergeCell ref="C9:C13"/>
    <mergeCell ref="B14:B18"/>
    <mergeCell ref="C14:C18"/>
    <mergeCell ref="B19:B21"/>
    <mergeCell ref="C19:C21"/>
  </mergeCells>
  <phoneticPr fontId="4" type="noConversion"/>
  <conditionalFormatting sqref="F6:G35">
    <cfRule type="cellIs" dxfId="23" priority="94" operator="equal">
      <formula>"Adecuado"</formula>
    </cfRule>
    <cfRule type="cellIs" dxfId="22" priority="95" operator="equal">
      <formula>"Regular"</formula>
    </cfRule>
    <cfRule type="cellIs" dxfId="21" priority="96" operator="equal">
      <formula>"Deficiente"</formula>
    </cfRule>
  </conditionalFormatting>
  <conditionalFormatting sqref="H6:H35">
    <cfRule type="expression" dxfId="20" priority="160" stopIfTrue="1">
      <formula>$H6="↓"</formula>
    </cfRule>
    <cfRule type="expression" dxfId="19" priority="161" stopIfTrue="1">
      <formula>$H6="="</formula>
    </cfRule>
    <cfRule type="expression" dxfId="18" priority="162" stopIfTrue="1">
      <formula>$H6="↑"</formula>
    </cfRule>
  </conditionalFormatting>
  <conditionalFormatting sqref="I6:I35">
    <cfRule type="cellIs" dxfId="17" priority="88" operator="equal">
      <formula>"Adecuado"</formula>
    </cfRule>
    <cfRule type="cellIs" dxfId="16" priority="89" operator="equal">
      <formula>"Regular"</formula>
    </cfRule>
    <cfRule type="cellIs" dxfId="15" priority="90" operator="equal">
      <formula>"Deficiente"</formula>
    </cfRule>
  </conditionalFormatting>
  <conditionalFormatting sqref="J6:J35">
    <cfRule type="expression" dxfId="14" priority="133" stopIfTrue="1">
      <formula>$J6="↓"</formula>
    </cfRule>
    <cfRule type="expression" dxfId="13" priority="134" stopIfTrue="1">
      <formula>$J6="="</formula>
    </cfRule>
    <cfRule type="expression" dxfId="12" priority="135" stopIfTrue="1">
      <formula>J6="↑"</formula>
    </cfRule>
  </conditionalFormatting>
  <conditionalFormatting sqref="K6:K35">
    <cfRule type="cellIs" dxfId="11" priority="82" operator="equal">
      <formula>"Adecuado"</formula>
    </cfRule>
    <cfRule type="cellIs" dxfId="10" priority="83" operator="equal">
      <formula>"Regular"</formula>
    </cfRule>
    <cfRule type="cellIs" dxfId="9" priority="84" operator="equal">
      <formula>"Deficiente"</formula>
    </cfRule>
  </conditionalFormatting>
  <conditionalFormatting sqref="L6:L35">
    <cfRule type="expression" dxfId="8" priority="106" stopIfTrue="1">
      <formula>$L6="↓"</formula>
    </cfRule>
    <cfRule type="expression" dxfId="7" priority="107" stopIfTrue="1">
      <formula>$L6="="</formula>
    </cfRule>
    <cfRule type="expression" dxfId="6" priority="108" stopIfTrue="1">
      <formula>$L6="↑"</formula>
    </cfRule>
  </conditionalFormatting>
  <conditionalFormatting sqref="M6:N35">
    <cfRule type="cellIs" dxfId="5" priority="70" operator="equal">
      <formula>"Adecuado"</formula>
    </cfRule>
    <cfRule type="cellIs" dxfId="4" priority="71" operator="equal">
      <formula>"Regular"</formula>
    </cfRule>
    <cfRule type="cellIs" dxfId="3" priority="72" operator="equal">
      <formula>"Deficiente"</formula>
    </cfRule>
  </conditionalFormatting>
  <printOptions horizontalCentered="1" verticalCentered="1"/>
  <pageMargins left="0.78740157480314965" right="0.78740157480314965" top="0.98425196850393704" bottom="0.98425196850393704" header="0" footer="0"/>
  <pageSetup paperSize="9" scale="50" orientation="landscape" r:id="rId1"/>
  <headerFooter alignWithMargins="0"/>
  <rowBreaks count="2" manualBreakCount="2">
    <brk id="31" max="188" man="1"/>
    <brk id="40" max="16383" man="1"/>
  </rowBreaks>
  <colBreaks count="1" manualBreakCount="1">
    <brk id="1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2">
    <tabColor rgb="FF00B050"/>
  </sheetPr>
  <dimension ref="A1:M329"/>
  <sheetViews>
    <sheetView topLeftCell="A4" zoomScale="70" zoomScaleNormal="70" workbookViewId="0">
      <selection sqref="A1:XFD1048576"/>
    </sheetView>
  </sheetViews>
  <sheetFormatPr baseColWidth="10" defaultColWidth="11.42578125" defaultRowHeight="14.25"/>
  <cols>
    <col min="1" max="1" width="4.5703125" style="514" customWidth="1"/>
    <col min="2" max="2" width="56.140625" style="514" customWidth="1"/>
    <col min="3" max="5" width="16" style="514" customWidth="1"/>
    <col min="6" max="6" width="19.85546875" style="514" customWidth="1"/>
    <col min="7" max="7" width="18.42578125" style="514" customWidth="1"/>
    <col min="8" max="8" width="18.5703125" style="514" customWidth="1"/>
    <col min="9" max="16384" width="11.42578125" style="443"/>
  </cols>
  <sheetData>
    <row r="1" spans="1:8" s="12" customFormat="1" ht="27.75" customHeight="1">
      <c r="A1" s="439" t="s">
        <v>143</v>
      </c>
      <c r="B1" s="439"/>
      <c r="C1" s="439"/>
      <c r="D1" s="439"/>
      <c r="E1" s="439"/>
      <c r="F1" s="439"/>
      <c r="G1" s="439"/>
      <c r="H1" s="439"/>
    </row>
    <row r="2" spans="1:8" s="442" customFormat="1" ht="7.5" customHeight="1" thickBot="1">
      <c r="A2" s="440"/>
      <c r="B2" s="441"/>
      <c r="C2" s="441"/>
      <c r="D2" s="441"/>
      <c r="E2" s="441"/>
      <c r="F2" s="441"/>
      <c r="G2" s="441"/>
      <c r="H2" s="441"/>
    </row>
    <row r="3" spans="1:8" s="442" customFormat="1" ht="27.75" customHeight="1" thickBot="1">
      <c r="A3" s="726" t="str">
        <f>'F2'!E3</f>
        <v>MOYOBAMBA</v>
      </c>
      <c r="B3" s="727"/>
      <c r="C3" s="728" t="str">
        <f>'F2'!G3</f>
        <v>MOYOBAMBA</v>
      </c>
      <c r="D3" s="729"/>
      <c r="E3" s="729"/>
      <c r="F3" s="729"/>
      <c r="G3" s="729"/>
      <c r="H3" s="727"/>
    </row>
    <row r="4" spans="1:8" ht="27.75" customHeight="1" thickBot="1">
      <c r="A4" s="443"/>
      <c r="B4" s="443"/>
      <c r="C4" s="443"/>
      <c r="D4" s="443"/>
      <c r="E4" s="443"/>
      <c r="F4" s="443"/>
      <c r="G4" s="443"/>
      <c r="H4" s="443"/>
    </row>
    <row r="5" spans="1:8" ht="27.75" customHeight="1" thickBot="1">
      <c r="A5" s="724" t="s">
        <v>26</v>
      </c>
      <c r="B5" s="725"/>
      <c r="C5" s="444" t="s">
        <v>5</v>
      </c>
      <c r="D5" s="445" t="s">
        <v>6</v>
      </c>
      <c r="E5" s="446" t="s">
        <v>7</v>
      </c>
      <c r="F5" s="447" t="s">
        <v>28</v>
      </c>
      <c r="G5" s="443"/>
      <c r="H5" s="443"/>
    </row>
    <row r="6" spans="1:8" ht="27.75" customHeight="1">
      <c r="A6" s="448">
        <v>1</v>
      </c>
      <c r="B6" s="449" t="s">
        <v>145</v>
      </c>
      <c r="C6" s="450">
        <v>3</v>
      </c>
      <c r="D6" s="451">
        <v>2</v>
      </c>
      <c r="E6" s="452">
        <v>0</v>
      </c>
      <c r="F6" s="453">
        <f>COUNT(Indicadores!D4:D6)</f>
        <v>3</v>
      </c>
      <c r="G6" s="443"/>
      <c r="H6" s="443"/>
    </row>
    <row r="7" spans="1:8" ht="27.75" customHeight="1">
      <c r="A7" s="454">
        <v>2</v>
      </c>
      <c r="B7" s="455" t="s">
        <v>185</v>
      </c>
      <c r="C7" s="456">
        <v>4</v>
      </c>
      <c r="D7" s="457">
        <v>2</v>
      </c>
      <c r="E7" s="458">
        <v>0</v>
      </c>
      <c r="F7" s="459">
        <f>COUNT(Indicadores!D7:D29)</f>
        <v>23</v>
      </c>
      <c r="G7" s="443"/>
      <c r="H7" s="443"/>
    </row>
    <row r="8" spans="1:8" ht="27.75" customHeight="1" thickBot="1">
      <c r="A8" s="460">
        <v>3</v>
      </c>
      <c r="B8" s="461" t="s">
        <v>147</v>
      </c>
      <c r="C8" s="462">
        <v>3</v>
      </c>
      <c r="D8" s="463">
        <v>2</v>
      </c>
      <c r="E8" s="464">
        <v>0</v>
      </c>
      <c r="F8" s="465">
        <f>COUNT(Indicadores!D30:D33)</f>
        <v>4</v>
      </c>
      <c r="G8" s="443"/>
      <c r="H8" s="443"/>
    </row>
    <row r="9" spans="1:8" ht="27.75" customHeight="1" thickBot="1">
      <c r="A9" s="443"/>
      <c r="B9" s="443"/>
      <c r="C9" s="443"/>
      <c r="D9" s="443"/>
      <c r="E9" s="443"/>
      <c r="F9" s="466">
        <f>SUM(F6:F8)</f>
        <v>30</v>
      </c>
      <c r="G9" s="443"/>
      <c r="H9" s="443"/>
    </row>
    <row r="10" spans="1:8" ht="27.75" customHeight="1" thickBot="1">
      <c r="A10" s="443"/>
      <c r="B10" s="443"/>
      <c r="C10" s="443"/>
      <c r="D10" s="443"/>
      <c r="E10" s="443"/>
      <c r="F10" s="467"/>
      <c r="G10" s="443"/>
      <c r="H10" s="443"/>
    </row>
    <row r="11" spans="1:8" ht="27.75" customHeight="1" thickBot="1">
      <c r="A11" s="724" t="s">
        <v>31</v>
      </c>
      <c r="B11" s="725"/>
      <c r="C11" s="730" t="s">
        <v>32</v>
      </c>
      <c r="D11" s="731"/>
      <c r="E11" s="467"/>
      <c r="F11" s="467"/>
      <c r="G11" s="443"/>
      <c r="H11" s="443"/>
    </row>
    <row r="12" spans="1:8" ht="20.25" customHeight="1">
      <c r="A12" s="454">
        <v>2</v>
      </c>
      <c r="B12" s="455" t="s">
        <v>5</v>
      </c>
      <c r="C12" s="456">
        <v>10</v>
      </c>
      <c r="D12" s="458">
        <v>8</v>
      </c>
      <c r="E12" s="468"/>
      <c r="F12" s="467"/>
      <c r="G12" s="443"/>
      <c r="H12" s="443"/>
    </row>
    <row r="13" spans="1:8" ht="20.25" customHeight="1">
      <c r="A13" s="454">
        <v>3</v>
      </c>
      <c r="B13" s="455" t="s">
        <v>6</v>
      </c>
      <c r="C13" s="456">
        <v>7.9</v>
      </c>
      <c r="D13" s="458">
        <v>5</v>
      </c>
      <c r="E13" s="468"/>
      <c r="F13" s="467"/>
      <c r="G13" s="443"/>
      <c r="H13" s="443"/>
    </row>
    <row r="14" spans="1:8" ht="20.25" customHeight="1" thickBot="1">
      <c r="A14" s="460">
        <v>4</v>
      </c>
      <c r="B14" s="461" t="s">
        <v>7</v>
      </c>
      <c r="C14" s="462">
        <v>4.9000000000000004</v>
      </c>
      <c r="D14" s="464">
        <v>0</v>
      </c>
      <c r="E14" s="468"/>
      <c r="F14" s="467"/>
      <c r="G14" s="443"/>
      <c r="H14" s="443"/>
    </row>
    <row r="15" spans="1:8">
      <c r="A15" s="443"/>
      <c r="B15" s="443"/>
      <c r="C15" s="443"/>
      <c r="D15" s="443"/>
      <c r="E15" s="443"/>
      <c r="F15" s="467"/>
      <c r="G15" s="443"/>
      <c r="H15" s="443"/>
    </row>
    <row r="16" spans="1:8" ht="20.25" customHeight="1" thickBot="1">
      <c r="A16" s="443"/>
      <c r="B16" s="443"/>
      <c r="C16" s="443"/>
      <c r="D16" s="443"/>
      <c r="E16" s="443"/>
      <c r="F16" s="443"/>
      <c r="G16" s="443"/>
      <c r="H16" s="443"/>
    </row>
    <row r="17" spans="1:13" ht="22.5" customHeight="1" thickBot="1">
      <c r="A17" s="721" t="s">
        <v>151</v>
      </c>
      <c r="B17" s="722"/>
      <c r="C17" s="723"/>
      <c r="D17" s="723"/>
      <c r="E17" s="723"/>
      <c r="F17" s="723"/>
      <c r="G17" s="723"/>
      <c r="H17" s="443"/>
    </row>
    <row r="18" spans="1:13" ht="22.5" customHeight="1" thickBot="1">
      <c r="A18" s="724" t="s">
        <v>150</v>
      </c>
      <c r="B18" s="725"/>
      <c r="C18" s="444" t="s">
        <v>5</v>
      </c>
      <c r="D18" s="445" t="s">
        <v>6</v>
      </c>
      <c r="E18" s="469" t="s">
        <v>7</v>
      </c>
      <c r="F18" s="447" t="s">
        <v>28</v>
      </c>
      <c r="G18" s="447" t="s">
        <v>27</v>
      </c>
      <c r="H18" s="443"/>
      <c r="I18" s="470"/>
      <c r="J18" s="470"/>
      <c r="K18" s="470"/>
      <c r="L18" s="470"/>
      <c r="M18" s="470"/>
    </row>
    <row r="19" spans="1:13" ht="22.5" customHeight="1">
      <c r="A19" s="471">
        <v>1</v>
      </c>
      <c r="B19" s="472" t="str">
        <f>+B$6</f>
        <v>GESTION</v>
      </c>
      <c r="C19" s="473">
        <f>COUNTIF('F2'!$V$8:$V$10,"Adecuado")</f>
        <v>3</v>
      </c>
      <c r="D19" s="473">
        <f>COUNTIF('F2'!$V$8:$V$10,"Regular")</f>
        <v>0</v>
      </c>
      <c r="E19" s="473">
        <f>COUNTIF('F2'!$V$8:$V$10,"Deficiente")</f>
        <v>0</v>
      </c>
      <c r="F19" s="474">
        <f>SUM(C19:E19)</f>
        <v>3</v>
      </c>
      <c r="G19" s="475">
        <f>+((C19/$F$6)*$C$6)+((D19/$F$6)*$D$6)+((E19/$F$6)*$E$6)</f>
        <v>3</v>
      </c>
      <c r="H19" s="443"/>
      <c r="I19" s="470"/>
      <c r="J19" s="470"/>
      <c r="K19" s="470"/>
      <c r="L19" s="470"/>
      <c r="M19" s="470"/>
    </row>
    <row r="20" spans="1:13" ht="22.5" customHeight="1">
      <c r="A20" s="476">
        <v>2</v>
      </c>
      <c r="B20" s="449" t="str">
        <f>+B$7</f>
        <v xml:space="preserve">PRESTACION </v>
      </c>
      <c r="C20" s="456">
        <f>COUNTIF('F2'!$V$11:$V$33,"Adecuado")</f>
        <v>1</v>
      </c>
      <c r="D20" s="456">
        <f>COUNTIF('F2'!$V$11:$V$33,"Regular")</f>
        <v>4</v>
      </c>
      <c r="E20" s="456">
        <f>COUNTIF('F2'!$V$11:$V$33,"Deficiente")</f>
        <v>18</v>
      </c>
      <c r="F20" s="459">
        <f>SUM(C20:E20)</f>
        <v>23</v>
      </c>
      <c r="G20" s="477">
        <f>+((C20/$F$7)*$C$7)+((D20/$F$7)*$D$6)+((E20/$F$7)*$E$6)</f>
        <v>0.52173913043478259</v>
      </c>
      <c r="H20" s="443"/>
      <c r="I20" s="478" t="s">
        <v>33</v>
      </c>
      <c r="J20" s="478">
        <v>2008</v>
      </c>
      <c r="K20" s="470"/>
      <c r="L20" s="470"/>
      <c r="M20" s="470"/>
    </row>
    <row r="21" spans="1:13" ht="22.5" customHeight="1" thickBot="1">
      <c r="A21" s="479">
        <v>3</v>
      </c>
      <c r="B21" s="480" t="str">
        <f>+B$8</f>
        <v>ORGANIZACIÓN</v>
      </c>
      <c r="C21" s="462">
        <f>COUNTIF('F2'!$V$34:$V$37,"Adecuado")</f>
        <v>0</v>
      </c>
      <c r="D21" s="462">
        <f>COUNTIF('F2'!$V$34:$V$37,"Regular")</f>
        <v>0</v>
      </c>
      <c r="E21" s="462">
        <f>COUNTIF('F2'!$V$34:$V$37,"Deficiente")</f>
        <v>4</v>
      </c>
      <c r="F21" s="465">
        <f>SUM(C21:E21)</f>
        <v>4</v>
      </c>
      <c r="G21" s="481">
        <f>+((C21/$F$8)*$C$6)+((D21/$F$8)*$D$6)+((E21/$F$8)*$E$6)</f>
        <v>0</v>
      </c>
      <c r="H21" s="443"/>
      <c r="I21" s="482">
        <f>+G22</f>
        <v>3.5217391304347827</v>
      </c>
      <c r="J21" s="482">
        <f>+G31</f>
        <v>3.5217391304347827</v>
      </c>
      <c r="K21" s="470"/>
      <c r="L21" s="470"/>
      <c r="M21" s="470"/>
    </row>
    <row r="22" spans="1:13" ht="22.5" customHeight="1" thickBot="1">
      <c r="A22" s="443"/>
      <c r="B22" s="443"/>
      <c r="C22" s="483">
        <f>SUM(C19:C21)</f>
        <v>4</v>
      </c>
      <c r="D22" s="484">
        <f>SUM(D19:D21)</f>
        <v>4</v>
      </c>
      <c r="E22" s="485">
        <f>SUM(E19:E21)</f>
        <v>22</v>
      </c>
      <c r="F22" s="486">
        <f>SUM(F19:F21)</f>
        <v>30</v>
      </c>
      <c r="G22" s="487">
        <f>SUM(G19:G21)</f>
        <v>3.5217391304347827</v>
      </c>
      <c r="H22" s="488" t="str">
        <f>IF((G22&gt;$C$13),"Adecuado",IF(($D$13&gt;G22),"Deficiente","Regular"))</f>
        <v>Deficiente</v>
      </c>
      <c r="I22" s="478"/>
      <c r="J22" s="478"/>
      <c r="K22" s="470"/>
      <c r="L22" s="470"/>
      <c r="M22" s="470"/>
    </row>
    <row r="23" spans="1:13" ht="22.5" customHeight="1" thickBot="1">
      <c r="A23" s="443"/>
      <c r="B23" s="443"/>
      <c r="C23" s="489">
        <f>+C22/$F22</f>
        <v>0.13333333333333333</v>
      </c>
      <c r="D23" s="490">
        <f>+D22/$F22</f>
        <v>0.13333333333333333</v>
      </c>
      <c r="E23" s="491">
        <f>+E22/$F22</f>
        <v>0.73333333333333328</v>
      </c>
      <c r="F23" s="467"/>
      <c r="G23" s="492"/>
      <c r="H23" s="493"/>
      <c r="I23" s="470"/>
      <c r="J23" s="470"/>
      <c r="K23" s="470"/>
      <c r="L23" s="470"/>
      <c r="M23" s="470"/>
    </row>
    <row r="24" spans="1:13" s="499" customFormat="1" ht="22.5" customHeight="1">
      <c r="A24" s="494" t="s">
        <v>199</v>
      </c>
      <c r="B24" s="495"/>
      <c r="C24" s="496"/>
      <c r="D24" s="497" t="str">
        <f>+H22</f>
        <v>Deficiente</v>
      </c>
      <c r="E24" s="498"/>
      <c r="F24" s="498"/>
      <c r="G24" s="498"/>
      <c r="H24" s="498"/>
    </row>
    <row r="25" spans="1:13" s="504" customFormat="1" ht="22.5" customHeight="1" thickBot="1">
      <c r="A25" s="500"/>
      <c r="B25" s="501"/>
      <c r="C25" s="502"/>
      <c r="D25" s="503"/>
    </row>
    <row r="26" spans="1:13" ht="22.5" customHeight="1" thickBot="1">
      <c r="A26" s="721" t="s">
        <v>169</v>
      </c>
      <c r="B26" s="722"/>
      <c r="C26" s="723"/>
      <c r="D26" s="723"/>
      <c r="E26" s="723"/>
      <c r="F26" s="723"/>
      <c r="G26" s="723"/>
      <c r="H26" s="443"/>
    </row>
    <row r="27" spans="1:13" ht="22.5" customHeight="1" thickBot="1">
      <c r="A27" s="724" t="s">
        <v>150</v>
      </c>
      <c r="B27" s="725"/>
      <c r="C27" s="444" t="s">
        <v>5</v>
      </c>
      <c r="D27" s="445" t="s">
        <v>6</v>
      </c>
      <c r="E27" s="469" t="s">
        <v>7</v>
      </c>
      <c r="F27" s="447" t="s">
        <v>28</v>
      </c>
      <c r="G27" s="447" t="s">
        <v>27</v>
      </c>
      <c r="H27" s="443"/>
    </row>
    <row r="28" spans="1:13" ht="22.5" customHeight="1">
      <c r="A28" s="471">
        <v>1</v>
      </c>
      <c r="B28" s="472" t="str">
        <f>+B$6</f>
        <v>GESTION</v>
      </c>
      <c r="C28" s="473">
        <f>COUNTIF('F2'!W8:W10,"Adecuado")</f>
        <v>3</v>
      </c>
      <c r="D28" s="473">
        <f>COUNTIF('F2'!W8:W10,"Regular")</f>
        <v>0</v>
      </c>
      <c r="E28" s="473">
        <f>COUNTIF('F2'!W8:W10,"Deficiente")</f>
        <v>0</v>
      </c>
      <c r="F28" s="474">
        <f>SUM(C28:E28)</f>
        <v>3</v>
      </c>
      <c r="G28" s="475">
        <f>+((C28/$F$6)*$C$6)+((D28/$F$6)*$D$6)+((E28/$F$6)*$E$6)</f>
        <v>3</v>
      </c>
      <c r="H28" s="443"/>
    </row>
    <row r="29" spans="1:13" ht="22.5" customHeight="1">
      <c r="A29" s="476">
        <v>2</v>
      </c>
      <c r="B29" s="449" t="str">
        <f>+B$7</f>
        <v xml:space="preserve">PRESTACION </v>
      </c>
      <c r="C29" s="456">
        <f>COUNTIF('F2'!W11:W33,"Adecuado")</f>
        <v>1</v>
      </c>
      <c r="D29" s="456">
        <f>COUNTIF('F2'!W11:W33,"Regular")</f>
        <v>4</v>
      </c>
      <c r="E29" s="456">
        <f>COUNTIF('F2'!W11:W33,"Deficiente")</f>
        <v>18</v>
      </c>
      <c r="F29" s="459">
        <f>SUM(C29:E29)</f>
        <v>23</v>
      </c>
      <c r="G29" s="477">
        <f>+((C29/$F$7)*$C$7)+((D29/$F$7)*$D$6)+((E29/$F$7)*$E$6)</f>
        <v>0.52173913043478259</v>
      </c>
      <c r="H29" s="443"/>
    </row>
    <row r="30" spans="1:13" ht="22.5" customHeight="1" thickBot="1">
      <c r="A30" s="479">
        <v>3</v>
      </c>
      <c r="B30" s="480" t="str">
        <f>+B$8</f>
        <v>ORGANIZACIÓN</v>
      </c>
      <c r="C30" s="462">
        <f>COUNTIF('F2'!W34:W37,"Adecuado")</f>
        <v>0</v>
      </c>
      <c r="D30" s="462">
        <f>COUNTIF('F2'!W34:W37,"Regular")</f>
        <v>0</v>
      </c>
      <c r="E30" s="462">
        <f>COUNTIF('F2'!W34:W37,"Deficiente")</f>
        <v>4</v>
      </c>
      <c r="F30" s="465">
        <f>SUM(C30:E30)</f>
        <v>4</v>
      </c>
      <c r="G30" s="481">
        <f>+((C30/$F$8)*$C$6)+((D30/$F$8)*$D$6)+((E30/$F$8)*$E$6)</f>
        <v>0</v>
      </c>
      <c r="H30" s="443"/>
    </row>
    <row r="31" spans="1:13" ht="22.5" customHeight="1" thickBot="1">
      <c r="A31" s="443"/>
      <c r="B31" s="443"/>
      <c r="C31" s="483">
        <f>SUM(C28:C30)</f>
        <v>4</v>
      </c>
      <c r="D31" s="484">
        <f>SUM(D28:D30)</f>
        <v>4</v>
      </c>
      <c r="E31" s="485">
        <f>SUM(E28:E30)</f>
        <v>22</v>
      </c>
      <c r="F31" s="486">
        <f>SUM(F28:F30)</f>
        <v>30</v>
      </c>
      <c r="G31" s="487">
        <f>SUM(G28:G30)</f>
        <v>3.5217391304347827</v>
      </c>
      <c r="H31" s="488" t="str">
        <f>IF((G31&gt;$C$13),"Adecuado",IF(($D$13&gt;G31),"Deficiente","Regular"))</f>
        <v>Deficiente</v>
      </c>
    </row>
    <row r="32" spans="1:13" ht="22.5" customHeight="1" thickBot="1">
      <c r="A32" s="443"/>
      <c r="B32" s="443"/>
      <c r="C32" s="489">
        <f>+C31/$F31</f>
        <v>0.13333333333333333</v>
      </c>
      <c r="D32" s="490">
        <f>+D31/$F31</f>
        <v>0.13333333333333333</v>
      </c>
      <c r="E32" s="491">
        <f>+E31/$F31</f>
        <v>0.73333333333333328</v>
      </c>
      <c r="F32" s="467"/>
      <c r="G32" s="492"/>
      <c r="H32" s="493"/>
    </row>
    <row r="33" spans="1:8" s="507" customFormat="1" ht="22.5" customHeight="1">
      <c r="A33" s="494" t="s">
        <v>197</v>
      </c>
      <c r="B33" s="505"/>
      <c r="C33" s="496"/>
      <c r="D33" s="497" t="str">
        <f>+H31</f>
        <v>Deficiente</v>
      </c>
      <c r="E33" s="506"/>
      <c r="F33" s="506"/>
      <c r="G33" s="506"/>
      <c r="H33" s="506"/>
    </row>
    <row r="34" spans="1:8" s="507" customFormat="1" ht="22.5" customHeight="1">
      <c r="A34" s="720" t="s">
        <v>198</v>
      </c>
      <c r="B34" s="720"/>
      <c r="C34" s="508" t="str">
        <f>IF((G31&gt;G22),"mejor",IF((G31&lt;G22),"menor","igual"))</f>
        <v>igual</v>
      </c>
      <c r="D34" s="498" t="s">
        <v>196</v>
      </c>
      <c r="E34" s="506"/>
      <c r="F34" s="506"/>
      <c r="G34" s="506"/>
      <c r="H34" s="506"/>
    </row>
    <row r="35" spans="1:8" ht="10.5" customHeight="1">
      <c r="A35" s="443"/>
      <c r="B35" s="443"/>
      <c r="C35" s="443"/>
      <c r="D35" s="443"/>
      <c r="E35" s="443"/>
      <c r="F35" s="443"/>
      <c r="G35" s="443"/>
      <c r="H35" s="443"/>
    </row>
    <row r="36" spans="1:8" ht="22.5" customHeight="1" thickBot="1">
      <c r="A36" s="509"/>
      <c r="B36" s="509"/>
      <c r="C36" s="509"/>
      <c r="D36" s="509"/>
      <c r="E36" s="509"/>
      <c r="F36" s="509"/>
      <c r="G36" s="509"/>
      <c r="H36" s="509"/>
    </row>
    <row r="37" spans="1:8" ht="22.5" customHeight="1" thickBot="1">
      <c r="A37" s="721" t="s">
        <v>168</v>
      </c>
      <c r="B37" s="722"/>
      <c r="C37" s="723"/>
      <c r="D37" s="723"/>
      <c r="E37" s="723"/>
      <c r="F37" s="723"/>
      <c r="G37" s="723"/>
      <c r="H37" s="443"/>
    </row>
    <row r="38" spans="1:8" ht="22.5" customHeight="1" thickBot="1">
      <c r="A38" s="724" t="s">
        <v>150</v>
      </c>
      <c r="B38" s="725"/>
      <c r="C38" s="444" t="s">
        <v>5</v>
      </c>
      <c r="D38" s="445" t="s">
        <v>6</v>
      </c>
      <c r="E38" s="469" t="s">
        <v>7</v>
      </c>
      <c r="F38" s="447" t="s">
        <v>28</v>
      </c>
      <c r="G38" s="447" t="s">
        <v>27</v>
      </c>
      <c r="H38" s="443"/>
    </row>
    <row r="39" spans="1:8" ht="22.5" customHeight="1">
      <c r="A39" s="471">
        <v>1</v>
      </c>
      <c r="B39" s="472" t="str">
        <f>+B$6</f>
        <v>GESTION</v>
      </c>
      <c r="C39" s="473">
        <f>COUNTIF('F2'!$X$8:$X$10,"Adecuado")</f>
        <v>0</v>
      </c>
      <c r="D39" s="473">
        <f>COUNTIF('F2'!$X$8:$X$10,"Regular")</f>
        <v>0</v>
      </c>
      <c r="E39" s="473">
        <f>COUNTIF('F2'!$X$8:$X$10,"Deficiente")</f>
        <v>0</v>
      </c>
      <c r="F39" s="474">
        <f>SUM(C39:E39)</f>
        <v>0</v>
      </c>
      <c r="G39" s="475">
        <f>+((C39/$F$6)*$C$6)+((D39/$F$6)*$D$6)+((E39/$F$6)*$E$6)</f>
        <v>0</v>
      </c>
      <c r="H39" s="443"/>
    </row>
    <row r="40" spans="1:8" ht="22.5" customHeight="1">
      <c r="A40" s="476">
        <v>2</v>
      </c>
      <c r="B40" s="449" t="str">
        <f>+B$7</f>
        <v xml:space="preserve">PRESTACION </v>
      </c>
      <c r="C40" s="456">
        <f>COUNTIF('F2'!$X$11:$X$33,"Adecuado")</f>
        <v>0</v>
      </c>
      <c r="D40" s="456">
        <f>COUNTIF('F2'!$X$11:$X$33,"Regular")</f>
        <v>0</v>
      </c>
      <c r="E40" s="456">
        <f>COUNTIF('F2'!$X$11:$X$33,"Deficiente")</f>
        <v>0</v>
      </c>
      <c r="F40" s="459">
        <f>SUM(C40:E40)</f>
        <v>0</v>
      </c>
      <c r="G40" s="477">
        <f>+((C40/$F$7)*$C$7)+((D40/$F$7)*$D$6)+((E40/$F$7)*$E$6)</f>
        <v>0</v>
      </c>
      <c r="H40" s="443"/>
    </row>
    <row r="41" spans="1:8" ht="22.5" customHeight="1" thickBot="1">
      <c r="A41" s="479">
        <v>3</v>
      </c>
      <c r="B41" s="480" t="str">
        <f>+B$8</f>
        <v>ORGANIZACIÓN</v>
      </c>
      <c r="C41" s="462">
        <f>COUNTIF('F2'!$X$34:$X$37,"Adecuado")</f>
        <v>0</v>
      </c>
      <c r="D41" s="462">
        <f>COUNTIF('F2'!$X$34:$X$37,"Regular")</f>
        <v>0</v>
      </c>
      <c r="E41" s="462">
        <f>COUNTIF('F2'!$X$34:$X$37,"Deficiente")</f>
        <v>0</v>
      </c>
      <c r="F41" s="465">
        <f>SUM(C41:E41)</f>
        <v>0</v>
      </c>
      <c r="G41" s="481">
        <f>+((C41/$F$8)*$C$6)+((D41/$F$8)*$D$6)+((E41/$F$8)*$E$6)</f>
        <v>0</v>
      </c>
      <c r="H41" s="443"/>
    </row>
    <row r="42" spans="1:8" ht="22.5" customHeight="1" thickBot="1">
      <c r="A42" s="443"/>
      <c r="B42" s="443"/>
      <c r="C42" s="483">
        <f>SUM(C39:C41)</f>
        <v>0</v>
      </c>
      <c r="D42" s="484">
        <f>SUM(D39:D41)</f>
        <v>0</v>
      </c>
      <c r="E42" s="485">
        <f>SUM(E39:E41)</f>
        <v>0</v>
      </c>
      <c r="F42" s="486">
        <f>SUM(F39:F41)</f>
        <v>0</v>
      </c>
      <c r="G42" s="487">
        <f>SUM(G39:G41)</f>
        <v>0</v>
      </c>
      <c r="H42" s="488" t="str">
        <f>IF((G42&gt;$C$13),"Adecuado",IF(($D$13&gt;G42),"Deficiente","Regular"))</f>
        <v>Deficiente</v>
      </c>
    </row>
    <row r="43" spans="1:8" ht="22.5" customHeight="1" thickBot="1">
      <c r="A43" s="443"/>
      <c r="B43" s="443"/>
      <c r="C43" s="510">
        <f>IFERROR(+C42/$F42,0)</f>
        <v>0</v>
      </c>
      <c r="D43" s="511">
        <f>IFERROR(+D42/$F42,0)</f>
        <v>0</v>
      </c>
      <c r="E43" s="512">
        <f>IFERROR(+E42/$F42,0)</f>
        <v>0</v>
      </c>
      <c r="F43" s="467"/>
      <c r="G43" s="492"/>
      <c r="H43" s="493"/>
    </row>
    <row r="44" spans="1:8" s="499" customFormat="1" ht="22.5" customHeight="1">
      <c r="A44" s="494" t="s">
        <v>200</v>
      </c>
      <c r="B44" s="495"/>
      <c r="C44" s="496"/>
      <c r="D44" s="497" t="str">
        <f>+H42</f>
        <v>Deficiente</v>
      </c>
      <c r="E44" s="498"/>
      <c r="F44" s="498"/>
      <c r="G44" s="498"/>
      <c r="H44" s="498"/>
    </row>
    <row r="45" spans="1:8" s="499" customFormat="1" ht="22.5" customHeight="1">
      <c r="A45" s="720" t="s">
        <v>201</v>
      </c>
      <c r="B45" s="720"/>
      <c r="C45" s="508" t="str">
        <f>IF((G42&gt;G31),"mejor",IF((G42&lt;G31),"menor","igual"))</f>
        <v>menor</v>
      </c>
      <c r="D45" s="498" t="s">
        <v>196</v>
      </c>
      <c r="E45" s="498"/>
      <c r="F45" s="498"/>
      <c r="G45" s="498"/>
      <c r="H45" s="498"/>
    </row>
    <row r="46" spans="1:8" ht="15" customHeight="1">
      <c r="A46" s="443"/>
      <c r="B46" s="443"/>
      <c r="C46" s="443"/>
      <c r="D46" s="443"/>
      <c r="E46" s="443"/>
      <c r="F46" s="443"/>
      <c r="G46" s="443"/>
      <c r="H46" s="443"/>
    </row>
    <row r="47" spans="1:8" ht="12.75" customHeight="1" thickBot="1">
      <c r="A47" s="443"/>
      <c r="B47" s="443"/>
      <c r="C47" s="443"/>
      <c r="D47" s="443"/>
      <c r="E47" s="443"/>
      <c r="F47" s="443"/>
      <c r="G47" s="443"/>
      <c r="H47" s="443"/>
    </row>
    <row r="48" spans="1:8" ht="22.5" customHeight="1" thickBot="1">
      <c r="A48" s="721" t="s">
        <v>194</v>
      </c>
      <c r="B48" s="722"/>
      <c r="C48" s="723"/>
      <c r="D48" s="723"/>
      <c r="E48" s="723"/>
      <c r="F48" s="723"/>
      <c r="G48" s="723"/>
      <c r="H48" s="443"/>
    </row>
    <row r="49" spans="1:8" ht="22.5" customHeight="1" thickBot="1">
      <c r="A49" s="724" t="s">
        <v>150</v>
      </c>
      <c r="B49" s="725"/>
      <c r="C49" s="444" t="s">
        <v>5</v>
      </c>
      <c r="D49" s="445" t="s">
        <v>6</v>
      </c>
      <c r="E49" s="469" t="s">
        <v>7</v>
      </c>
      <c r="F49" s="447" t="s">
        <v>28</v>
      </c>
      <c r="G49" s="447" t="s">
        <v>27</v>
      </c>
      <c r="H49" s="443"/>
    </row>
    <row r="50" spans="1:8" ht="22.5" customHeight="1">
      <c r="A50" s="471">
        <v>1</v>
      </c>
      <c r="B50" s="472" t="str">
        <f>+B$6</f>
        <v>GESTION</v>
      </c>
      <c r="C50" s="473">
        <f>COUNTIF('F2'!$Y$8:$Y$10,"Adecuado")</f>
        <v>0</v>
      </c>
      <c r="D50" s="473">
        <f>COUNTIF('F2'!$Y$8:$Y$10,"Regular")</f>
        <v>0</v>
      </c>
      <c r="E50" s="473">
        <f>COUNTIF('F2'!$Y$8:$Y$10,"Deficiente")</f>
        <v>0</v>
      </c>
      <c r="F50" s="474">
        <f>SUM(C50:E50)</f>
        <v>0</v>
      </c>
      <c r="G50" s="475">
        <f>+((C50/$F$6)*$C$6)+((D50/$F$6)*$D$6)+((E50/$F$6)*$E$6)</f>
        <v>0</v>
      </c>
      <c r="H50" s="443"/>
    </row>
    <row r="51" spans="1:8" ht="22.5" customHeight="1">
      <c r="A51" s="476">
        <v>2</v>
      </c>
      <c r="B51" s="449" t="str">
        <f>+B$7</f>
        <v xml:space="preserve">PRESTACION </v>
      </c>
      <c r="C51" s="456">
        <f>COUNTIF('F2'!$Y$11:$Y$33,"Adecuado")</f>
        <v>0</v>
      </c>
      <c r="D51" s="456">
        <f>COUNTIF('F2'!$Y$11:$Y$33,"Regular")</f>
        <v>0</v>
      </c>
      <c r="E51" s="456">
        <f>COUNTIF('F2'!$Y$11:$Y$33,"Deficiente")</f>
        <v>0</v>
      </c>
      <c r="F51" s="459">
        <f>SUM(C51:E51)</f>
        <v>0</v>
      </c>
      <c r="G51" s="477">
        <f>+((C51/$F$7)*$C$7)+((D51/$F$7)*$D$6)+((E51/$F$7)*$E$6)</f>
        <v>0</v>
      </c>
      <c r="H51" s="443"/>
    </row>
    <row r="52" spans="1:8" ht="22.5" customHeight="1" thickBot="1">
      <c r="A52" s="479">
        <v>3</v>
      </c>
      <c r="B52" s="480" t="str">
        <f>+B$8</f>
        <v>ORGANIZACIÓN</v>
      </c>
      <c r="C52" s="462">
        <f>COUNTIF('F2'!$Y$34:$Y$37,"Adecuado")</f>
        <v>0</v>
      </c>
      <c r="D52" s="462">
        <f>COUNTIF('F2'!$Y$34:$Y$37,"Regular")</f>
        <v>0</v>
      </c>
      <c r="E52" s="462">
        <f>COUNTIF('F2'!$Y$34:$Y$37,"Deficiente")</f>
        <v>0</v>
      </c>
      <c r="F52" s="465">
        <f>SUM(C52:E52)</f>
        <v>0</v>
      </c>
      <c r="G52" s="481">
        <f>+((C52/$F$8)*$C$6)+((D52/$F$8)*$D$6)+((E52/$F$8)*$E$6)</f>
        <v>0</v>
      </c>
      <c r="H52" s="443"/>
    </row>
    <row r="53" spans="1:8" ht="22.5" customHeight="1" thickBot="1">
      <c r="A53" s="443"/>
      <c r="B53" s="443"/>
      <c r="C53" s="483">
        <f>SUM(C50:C52)</f>
        <v>0</v>
      </c>
      <c r="D53" s="484">
        <f>SUM(D50:D52)</f>
        <v>0</v>
      </c>
      <c r="E53" s="485">
        <f>SUM(E50:E52)</f>
        <v>0</v>
      </c>
      <c r="F53" s="486">
        <f>SUM(F50:F52)</f>
        <v>0</v>
      </c>
      <c r="G53" s="487">
        <f>SUM(G50:G52)</f>
        <v>0</v>
      </c>
      <c r="H53" s="488" t="str">
        <f>IF((G53&gt;$C$13),"Adecuado",IF(($D$13&gt;G53),"Deficiente","Regular"))</f>
        <v>Deficiente</v>
      </c>
    </row>
    <row r="54" spans="1:8" ht="22.5" customHeight="1" thickBot="1">
      <c r="A54" s="443"/>
      <c r="B54" s="443"/>
      <c r="C54" s="510">
        <f>IFERROR(+C53/$F53,0)</f>
        <v>0</v>
      </c>
      <c r="D54" s="511">
        <f>IFERROR(+D53/$F53,0)</f>
        <v>0</v>
      </c>
      <c r="E54" s="512">
        <f>IFERROR(+E53/$F53,0)</f>
        <v>0</v>
      </c>
      <c r="F54" s="467"/>
      <c r="G54" s="492"/>
      <c r="H54" s="493"/>
    </row>
    <row r="55" spans="1:8" ht="22.5" customHeight="1">
      <c r="A55" s="494" t="s">
        <v>202</v>
      </c>
      <c r="B55" s="495"/>
      <c r="C55" s="496"/>
      <c r="D55" s="497" t="str">
        <f>+H53</f>
        <v>Deficiente</v>
      </c>
      <c r="E55" s="498"/>
      <c r="F55" s="498"/>
      <c r="G55" s="498"/>
      <c r="H55" s="498"/>
    </row>
    <row r="56" spans="1:8" ht="22.5" customHeight="1">
      <c r="A56" s="720" t="s">
        <v>203</v>
      </c>
      <c r="B56" s="720"/>
      <c r="C56" s="508" t="str">
        <f>IF((G53&gt;G42),"mejor",IF((G53&lt;G42),"menor","igual"))</f>
        <v>igual</v>
      </c>
      <c r="D56" s="498" t="s">
        <v>158</v>
      </c>
      <c r="E56" s="498"/>
      <c r="F56" s="498"/>
      <c r="G56" s="498"/>
      <c r="H56" s="498"/>
    </row>
    <row r="57" spans="1:8" ht="15" customHeight="1">
      <c r="A57" s="443"/>
      <c r="B57" s="443"/>
      <c r="C57" s="443"/>
      <c r="D57" s="443"/>
      <c r="E57" s="443"/>
      <c r="F57" s="443"/>
      <c r="G57" s="443"/>
      <c r="H57" s="443"/>
    </row>
    <row r="58" spans="1:8" ht="15.75" customHeight="1" thickBot="1">
      <c r="A58" s="443"/>
      <c r="B58" s="443"/>
      <c r="C58" s="443"/>
      <c r="D58" s="443"/>
      <c r="E58" s="443"/>
      <c r="F58" s="443"/>
      <c r="G58" s="443"/>
      <c r="H58" s="443"/>
    </row>
    <row r="59" spans="1:8" ht="22.5" customHeight="1" thickBot="1">
      <c r="A59" s="721" t="s">
        <v>136</v>
      </c>
      <c r="B59" s="722"/>
      <c r="C59" s="723"/>
      <c r="D59" s="723"/>
      <c r="E59" s="723"/>
      <c r="F59" s="723"/>
      <c r="G59" s="723"/>
      <c r="H59" s="443"/>
    </row>
    <row r="60" spans="1:8" ht="22.5" customHeight="1" thickBot="1">
      <c r="A60" s="724" t="s">
        <v>150</v>
      </c>
      <c r="B60" s="725"/>
      <c r="C60" s="444" t="s">
        <v>5</v>
      </c>
      <c r="D60" s="445" t="s">
        <v>6</v>
      </c>
      <c r="E60" s="469" t="s">
        <v>7</v>
      </c>
      <c r="F60" s="447" t="s">
        <v>28</v>
      </c>
      <c r="G60" s="447" t="s">
        <v>27</v>
      </c>
      <c r="H60" s="443"/>
    </row>
    <row r="61" spans="1:8" ht="22.5" customHeight="1">
      <c r="A61" s="471">
        <v>1</v>
      </c>
      <c r="B61" s="472" t="str">
        <f>+B$6</f>
        <v>GESTION</v>
      </c>
      <c r="C61" s="473">
        <f>COUNTIF('F2'!$AA$8:$AA$10,"Adecuado")</f>
        <v>3</v>
      </c>
      <c r="D61" s="473">
        <f>COUNTIF('F2'!$AA$8:$AA$10,"Regular")</f>
        <v>0</v>
      </c>
      <c r="E61" s="473">
        <f>COUNTIF('F2'!$AA$8:$AA$10,"Deficiente")</f>
        <v>0</v>
      </c>
      <c r="F61" s="474">
        <f>SUM(C61:E61)</f>
        <v>3</v>
      </c>
      <c r="G61" s="475">
        <f>+((C61/$F$6)*$C$6)+((D61/$F$6)*$D$6)+((E61/$F$6)*$E$6)</f>
        <v>3</v>
      </c>
      <c r="H61" s="443"/>
    </row>
    <row r="62" spans="1:8" ht="22.5" customHeight="1">
      <c r="A62" s="476">
        <v>2</v>
      </c>
      <c r="B62" s="449" t="str">
        <f>+B$7</f>
        <v xml:space="preserve">PRESTACION </v>
      </c>
      <c r="C62" s="456">
        <f>COUNTIF('F2'!$AA$11:$AA$33,"Adecuado")</f>
        <v>1</v>
      </c>
      <c r="D62" s="456">
        <f>COUNTIF('F2'!$AA$11:$AA$33,"Regular")</f>
        <v>4</v>
      </c>
      <c r="E62" s="456">
        <f>COUNTIF('F2'!$AA$11:$AA$33,"Deficiente")</f>
        <v>18</v>
      </c>
      <c r="F62" s="459">
        <f>SUM(C62:E62)</f>
        <v>23</v>
      </c>
      <c r="G62" s="477">
        <f>+((C62/$F$7)*$C$7)+((D62/$F$7)*$D$6)+((E62/$F$7)*$E$6)</f>
        <v>0.52173913043478259</v>
      </c>
      <c r="H62" s="443"/>
    </row>
    <row r="63" spans="1:8" ht="22.5" customHeight="1" thickBot="1">
      <c r="A63" s="479">
        <v>3</v>
      </c>
      <c r="B63" s="480" t="str">
        <f>+B$8</f>
        <v>ORGANIZACIÓN</v>
      </c>
      <c r="C63" s="462">
        <f>COUNTIF('F2'!$AA$34:$AA$37,"Adecuado")</f>
        <v>0</v>
      </c>
      <c r="D63" s="462">
        <f>COUNTIF('F2'!$AA$34:$AA$37,"Regular")</f>
        <v>0</v>
      </c>
      <c r="E63" s="462">
        <f>COUNTIF('F2'!$AA$34:$AA$37,"Deficiente")</f>
        <v>4</v>
      </c>
      <c r="F63" s="465">
        <f>SUM(C63:E63)</f>
        <v>4</v>
      </c>
      <c r="G63" s="481">
        <f>+((C63/$F$8)*$C$6)+((D63/$F$8)*$D$6)+((E63/$F$8)*$E$6)</f>
        <v>0</v>
      </c>
      <c r="H63" s="443"/>
    </row>
    <row r="64" spans="1:8" ht="22.5" customHeight="1" thickBot="1">
      <c r="A64" s="443"/>
      <c r="B64" s="443"/>
      <c r="C64" s="483">
        <f>SUM(C61:C63)</f>
        <v>4</v>
      </c>
      <c r="D64" s="484">
        <f>SUM(D61:D63)</f>
        <v>4</v>
      </c>
      <c r="E64" s="485">
        <f>SUM(E61:E63)</f>
        <v>22</v>
      </c>
      <c r="F64" s="486">
        <f>SUM(F61:F63)</f>
        <v>30</v>
      </c>
      <c r="G64" s="513">
        <f>SUM(G61:G63)</f>
        <v>3.5217391304347827</v>
      </c>
      <c r="H64" s="488" t="str">
        <f>IF((G64&gt;$C$13),"Adecuado",IF(($D$13&gt;G64),"Deficiente","Regular"))</f>
        <v>Deficiente</v>
      </c>
    </row>
    <row r="65" spans="1:8" ht="22.5" customHeight="1" thickBot="1">
      <c r="A65" s="443"/>
      <c r="B65" s="443"/>
      <c r="C65" s="510">
        <f>+C64/$F64</f>
        <v>0.13333333333333333</v>
      </c>
      <c r="D65" s="511">
        <f>+D64/$F64</f>
        <v>0.13333333333333333</v>
      </c>
      <c r="E65" s="512">
        <f>+E64/$F64</f>
        <v>0.73333333333333328</v>
      </c>
      <c r="F65" s="467"/>
      <c r="G65" s="493"/>
      <c r="H65" s="493"/>
    </row>
    <row r="66" spans="1:8" ht="22.5" customHeight="1">
      <c r="A66" s="494" t="s">
        <v>409</v>
      </c>
      <c r="B66" s="495"/>
      <c r="C66" s="496"/>
      <c r="D66" s="497" t="str">
        <f>+H64</f>
        <v>Deficiente</v>
      </c>
      <c r="E66" s="494" t="s">
        <v>195</v>
      </c>
      <c r="F66" s="498"/>
      <c r="G66" s="498"/>
      <c r="H66" s="498"/>
    </row>
    <row r="67" spans="1:8">
      <c r="A67" s="443"/>
      <c r="B67" s="443"/>
      <c r="C67" s="443"/>
      <c r="D67" s="443"/>
      <c r="E67" s="443"/>
      <c r="F67" s="443"/>
      <c r="G67" s="443"/>
      <c r="H67" s="443"/>
    </row>
    <row r="68" spans="1:8">
      <c r="A68" s="443"/>
      <c r="B68" s="443"/>
      <c r="C68" s="443"/>
      <c r="D68" s="443"/>
      <c r="E68" s="443"/>
      <c r="F68" s="443"/>
      <c r="G68" s="443"/>
      <c r="H68" s="443"/>
    </row>
    <row r="69" spans="1:8">
      <c r="A69" s="443"/>
      <c r="B69" s="443"/>
      <c r="C69" s="443"/>
      <c r="D69" s="443"/>
      <c r="E69" s="443"/>
      <c r="F69" s="443"/>
      <c r="G69" s="443"/>
      <c r="H69" s="443"/>
    </row>
    <row r="70" spans="1:8">
      <c r="A70" s="443"/>
      <c r="B70" s="443"/>
      <c r="C70" s="443"/>
      <c r="D70" s="443"/>
      <c r="E70" s="443"/>
      <c r="F70" s="443"/>
      <c r="G70" s="443"/>
      <c r="H70" s="443"/>
    </row>
    <row r="71" spans="1:8">
      <c r="A71" s="443"/>
      <c r="B71" s="443"/>
      <c r="C71" s="443"/>
      <c r="D71" s="443"/>
      <c r="E71" s="443"/>
      <c r="F71" s="443"/>
      <c r="G71" s="443"/>
      <c r="H71" s="443"/>
    </row>
    <row r="72" spans="1:8">
      <c r="A72" s="443"/>
      <c r="B72" s="443"/>
      <c r="C72" s="443"/>
      <c r="D72" s="443"/>
      <c r="E72" s="443"/>
      <c r="F72" s="443"/>
      <c r="G72" s="443"/>
      <c r="H72" s="443"/>
    </row>
    <row r="73" spans="1:8">
      <c r="A73" s="443"/>
      <c r="B73" s="443"/>
      <c r="C73" s="443"/>
      <c r="D73" s="443"/>
      <c r="E73" s="443"/>
      <c r="F73" s="443"/>
      <c r="G73" s="443"/>
      <c r="H73" s="443"/>
    </row>
    <row r="74" spans="1:8">
      <c r="A74" s="443"/>
      <c r="B74" s="443"/>
      <c r="C74" s="443"/>
      <c r="D74" s="443"/>
      <c r="E74" s="443"/>
      <c r="F74" s="443"/>
      <c r="G74" s="443"/>
      <c r="H74" s="443"/>
    </row>
    <row r="75" spans="1:8">
      <c r="A75" s="443"/>
      <c r="B75" s="443"/>
      <c r="C75" s="443"/>
      <c r="D75" s="443"/>
      <c r="E75" s="443"/>
      <c r="F75" s="443"/>
      <c r="G75" s="443"/>
      <c r="H75" s="443"/>
    </row>
    <row r="76" spans="1:8">
      <c r="A76" s="443"/>
      <c r="B76" s="443"/>
      <c r="C76" s="443"/>
      <c r="D76" s="443"/>
      <c r="E76" s="443"/>
      <c r="F76" s="443"/>
      <c r="G76" s="443"/>
      <c r="H76" s="443"/>
    </row>
    <row r="77" spans="1:8">
      <c r="A77" s="443"/>
      <c r="B77" s="443"/>
      <c r="C77" s="443"/>
      <c r="D77" s="443"/>
      <c r="E77" s="443"/>
      <c r="F77" s="443"/>
      <c r="G77" s="443"/>
      <c r="H77" s="443"/>
    </row>
    <row r="78" spans="1:8">
      <c r="A78" s="443"/>
      <c r="B78" s="443"/>
      <c r="C78" s="443"/>
      <c r="D78" s="443"/>
      <c r="E78" s="443"/>
      <c r="F78" s="443"/>
      <c r="G78" s="443"/>
      <c r="H78" s="443"/>
    </row>
    <row r="79" spans="1:8">
      <c r="A79" s="443"/>
      <c r="B79" s="443"/>
      <c r="C79" s="443"/>
      <c r="D79" s="443"/>
      <c r="E79" s="443"/>
      <c r="F79" s="443"/>
      <c r="G79" s="443"/>
      <c r="H79" s="443"/>
    </row>
    <row r="80" spans="1:8">
      <c r="A80" s="443"/>
      <c r="B80" s="443"/>
      <c r="C80" s="443"/>
      <c r="D80" s="443"/>
      <c r="E80" s="443"/>
      <c r="F80" s="443"/>
      <c r="G80" s="443"/>
      <c r="H80" s="443"/>
    </row>
    <row r="81" s="443" customFormat="1"/>
    <row r="82" s="443" customFormat="1"/>
    <row r="83" s="443" customFormat="1"/>
    <row r="84" s="443" customFormat="1"/>
    <row r="85" s="443" customFormat="1"/>
    <row r="86" s="443" customFormat="1"/>
    <row r="87" s="443" customFormat="1"/>
    <row r="88" s="443" customFormat="1"/>
    <row r="89" s="443" customFormat="1"/>
    <row r="90" s="443" customFormat="1"/>
    <row r="91" s="443" customFormat="1"/>
    <row r="92" s="443" customFormat="1"/>
    <row r="93" s="443" customFormat="1"/>
    <row r="94" s="443" customFormat="1"/>
    <row r="95" s="443" customFormat="1"/>
    <row r="96" s="443" customFormat="1"/>
    <row r="97" s="443" customFormat="1"/>
    <row r="98" s="443" customFormat="1"/>
    <row r="99" s="443" customFormat="1"/>
    <row r="100" s="443" customFormat="1"/>
    <row r="101" s="443" customFormat="1"/>
    <row r="102" s="443" customFormat="1"/>
    <row r="103" s="443" customFormat="1"/>
    <row r="104" s="443" customFormat="1"/>
    <row r="105" s="443" customFormat="1"/>
    <row r="106" s="443" customFormat="1"/>
    <row r="107" s="443" customFormat="1"/>
    <row r="108" s="443" customFormat="1"/>
    <row r="109" s="443" customFormat="1"/>
    <row r="110" s="443" customFormat="1"/>
    <row r="111" s="443" customFormat="1"/>
    <row r="112" s="443" customFormat="1"/>
    <row r="113" s="443" customFormat="1"/>
    <row r="114" s="443" customFormat="1"/>
    <row r="115" s="443" customFormat="1"/>
    <row r="116" s="443" customFormat="1"/>
    <row r="117" s="443" customFormat="1"/>
    <row r="118" s="443" customFormat="1"/>
    <row r="119" s="443" customFormat="1"/>
    <row r="120" s="443" customFormat="1"/>
    <row r="121" s="443" customFormat="1"/>
    <row r="122" s="443" customFormat="1"/>
    <row r="123" s="443" customFormat="1"/>
    <row r="124" s="443" customFormat="1"/>
    <row r="125" s="443" customFormat="1"/>
    <row r="126" s="443" customFormat="1"/>
    <row r="127" s="443" customFormat="1"/>
    <row r="128" s="443" customFormat="1"/>
    <row r="129" s="443" customFormat="1"/>
    <row r="130" s="443" customFormat="1"/>
    <row r="131" s="443" customFormat="1"/>
    <row r="132" s="443" customFormat="1"/>
    <row r="133" s="443" customFormat="1"/>
    <row r="134" s="443" customFormat="1"/>
    <row r="135" s="443" customFormat="1"/>
    <row r="136" s="443" customFormat="1"/>
    <row r="137" s="443" customFormat="1"/>
    <row r="138" s="443" customFormat="1"/>
    <row r="139" s="443" customFormat="1"/>
    <row r="140" s="443" customFormat="1"/>
    <row r="141" s="443" customFormat="1"/>
    <row r="142" s="443" customFormat="1"/>
    <row r="143" s="443" customFormat="1"/>
    <row r="144" s="443" customFormat="1"/>
    <row r="145" s="443" customFormat="1"/>
    <row r="146" s="443" customFormat="1"/>
    <row r="147" s="443" customFormat="1"/>
    <row r="148" s="443" customFormat="1"/>
    <row r="149" s="443" customFormat="1"/>
    <row r="150" s="443" customFormat="1"/>
    <row r="151" s="443" customFormat="1"/>
    <row r="152" s="443" customFormat="1"/>
    <row r="153" s="443" customFormat="1"/>
    <row r="154" s="443" customFormat="1"/>
    <row r="155" s="443" customFormat="1"/>
    <row r="156" s="443" customFormat="1"/>
    <row r="157" s="443" customFormat="1"/>
    <row r="158" s="443" customFormat="1"/>
    <row r="159" s="443" customFormat="1"/>
    <row r="160" s="443" customFormat="1"/>
    <row r="161" s="443" customFormat="1"/>
    <row r="162" s="443" customFormat="1"/>
    <row r="163" s="443" customFormat="1"/>
    <row r="164" s="443" customFormat="1"/>
    <row r="165" s="443" customFormat="1"/>
    <row r="166" s="443" customFormat="1"/>
    <row r="167" s="443" customFormat="1"/>
    <row r="168" s="443" customFormat="1"/>
    <row r="169" s="443" customFormat="1"/>
    <row r="170" s="443" customFormat="1"/>
    <row r="171" s="443" customFormat="1"/>
    <row r="172" s="443" customFormat="1"/>
    <row r="173" s="443" customFormat="1"/>
    <row r="174" s="443" customFormat="1"/>
    <row r="175" s="443" customFormat="1"/>
    <row r="176" s="443" customFormat="1"/>
    <row r="177" s="443" customFormat="1"/>
    <row r="178" s="443" customFormat="1"/>
    <row r="179" s="443" customFormat="1"/>
    <row r="180" s="443" customFormat="1"/>
    <row r="181" s="443" customFormat="1"/>
    <row r="182" s="443" customFormat="1"/>
    <row r="183" s="443" customFormat="1"/>
    <row r="184" s="443" customFormat="1"/>
    <row r="185" s="443" customFormat="1"/>
    <row r="186" s="443" customFormat="1"/>
    <row r="187" s="443" customFormat="1"/>
    <row r="188" s="443" customFormat="1"/>
    <row r="189" s="443" customFormat="1"/>
    <row r="190" s="443" customFormat="1"/>
    <row r="191" s="443" customFormat="1"/>
    <row r="192" s="443" customFormat="1"/>
    <row r="193" s="443" customFormat="1"/>
    <row r="194" s="443" customFormat="1"/>
    <row r="195" s="443" customFormat="1"/>
    <row r="196" s="443" customFormat="1"/>
    <row r="197" s="443" customFormat="1"/>
    <row r="198" s="443" customFormat="1"/>
    <row r="199" s="443" customFormat="1"/>
    <row r="200" s="443" customFormat="1"/>
    <row r="201" s="443" customFormat="1"/>
    <row r="202" s="443" customFormat="1"/>
    <row r="203" s="443" customFormat="1"/>
    <row r="204" s="443" customFormat="1"/>
    <row r="205" s="443" customFormat="1"/>
    <row r="206" s="443" customFormat="1"/>
    <row r="207" s="443" customFormat="1"/>
    <row r="208" s="443" customFormat="1"/>
    <row r="209" s="443" customFormat="1"/>
    <row r="210" s="443" customFormat="1"/>
    <row r="211" s="443" customFormat="1"/>
    <row r="212" s="443" customFormat="1"/>
    <row r="213" s="443" customFormat="1"/>
    <row r="214" s="443" customFormat="1"/>
    <row r="215" s="443" customFormat="1"/>
    <row r="216" s="443" customFormat="1"/>
    <row r="217" s="443" customFormat="1"/>
    <row r="218" s="443" customFormat="1"/>
    <row r="219" s="443" customFormat="1"/>
    <row r="220" s="443" customFormat="1"/>
    <row r="221" s="443" customFormat="1"/>
    <row r="222" s="443" customFormat="1"/>
    <row r="223" s="443" customFormat="1"/>
    <row r="224" s="443" customFormat="1"/>
    <row r="225" s="443" customFormat="1"/>
    <row r="226" s="443" customFormat="1"/>
    <row r="227" s="443" customFormat="1"/>
    <row r="228" s="443" customFormat="1"/>
    <row r="229" s="443" customFormat="1"/>
    <row r="230" s="443" customFormat="1"/>
    <row r="231" s="443" customFormat="1"/>
    <row r="232" s="443" customFormat="1"/>
    <row r="233" s="443" customFormat="1"/>
    <row r="234" s="443" customFormat="1"/>
    <row r="235" s="443" customFormat="1"/>
    <row r="236" s="443" customFormat="1"/>
    <row r="237" s="443" customFormat="1"/>
    <row r="238" s="443" customFormat="1"/>
    <row r="239" s="443" customFormat="1"/>
    <row r="240" s="443" customFormat="1"/>
    <row r="241" s="443" customFormat="1"/>
    <row r="242" s="443" customFormat="1"/>
    <row r="243" s="443" customFormat="1"/>
    <row r="244" s="443" customFormat="1"/>
    <row r="245" s="443" customFormat="1"/>
    <row r="246" s="443" customFormat="1"/>
    <row r="247" s="443" customFormat="1"/>
    <row r="248" s="443" customFormat="1"/>
    <row r="249" s="443" customFormat="1"/>
    <row r="250" s="443" customFormat="1"/>
    <row r="251" s="443" customFormat="1"/>
    <row r="252" s="443" customFormat="1"/>
    <row r="253" s="443" customFormat="1"/>
    <row r="254" s="443" customFormat="1"/>
    <row r="255" s="443" customFormat="1"/>
    <row r="256" s="443" customFormat="1"/>
    <row r="257" s="443" customFormat="1"/>
    <row r="258" s="443" customFormat="1"/>
    <row r="259" s="443" customFormat="1"/>
    <row r="260" s="443" customFormat="1"/>
    <row r="261" s="443" customFormat="1"/>
    <row r="262" s="443" customFormat="1"/>
    <row r="263" s="443" customFormat="1"/>
    <row r="264" s="443" customFormat="1"/>
    <row r="265" s="443" customFormat="1"/>
    <row r="266" s="443" customFormat="1"/>
    <row r="267" s="443" customFormat="1"/>
    <row r="268" s="443" customFormat="1"/>
    <row r="269" s="443" customFormat="1"/>
    <row r="270" s="443" customFormat="1"/>
    <row r="271" s="443" customFormat="1"/>
    <row r="272" s="443" customFormat="1"/>
    <row r="273" s="443" customFormat="1"/>
    <row r="274" s="443" customFormat="1"/>
    <row r="275" s="443" customFormat="1"/>
    <row r="276" s="443" customFormat="1"/>
    <row r="277" s="443" customFormat="1"/>
    <row r="278" s="443" customFormat="1"/>
    <row r="279" s="443" customFormat="1"/>
    <row r="280" s="443" customFormat="1"/>
    <row r="281" s="443" customFormat="1"/>
    <row r="282" s="443" customFormat="1"/>
    <row r="283" s="443" customFormat="1"/>
    <row r="284" s="443" customFormat="1"/>
    <row r="285" s="443" customFormat="1"/>
    <row r="286" s="443" customFormat="1"/>
    <row r="287" s="443" customFormat="1"/>
    <row r="288" s="443" customFormat="1"/>
    <row r="289" s="443" customFormat="1"/>
    <row r="290" s="443" customFormat="1"/>
    <row r="291" s="443" customFormat="1"/>
    <row r="292" s="443" customFormat="1"/>
    <row r="293" s="443" customFormat="1"/>
    <row r="294" s="443" customFormat="1"/>
    <row r="295" s="443" customFormat="1"/>
    <row r="296" s="443" customFormat="1"/>
    <row r="297" s="443" customFormat="1"/>
    <row r="298" s="443" customFormat="1"/>
    <row r="299" s="443" customFormat="1"/>
    <row r="300" s="443" customFormat="1"/>
    <row r="301" s="443" customFormat="1"/>
    <row r="302" s="443" customFormat="1"/>
    <row r="303" s="443" customFormat="1"/>
    <row r="304" s="443" customFormat="1"/>
    <row r="305" s="443" customFormat="1"/>
    <row r="306" s="443" customFormat="1"/>
    <row r="307" s="443" customFormat="1"/>
    <row r="308" s="443" customFormat="1"/>
    <row r="309" s="443" customFormat="1"/>
    <row r="310" s="443" customFormat="1"/>
    <row r="311" s="443" customFormat="1"/>
    <row r="312" s="443" customFormat="1"/>
    <row r="313" s="443" customFormat="1"/>
    <row r="314" s="443" customFormat="1"/>
    <row r="315" s="443" customFormat="1"/>
    <row r="316" s="443" customFormat="1"/>
    <row r="317" s="443" customFormat="1"/>
    <row r="318" s="443" customFormat="1"/>
    <row r="319" s="443" customFormat="1"/>
    <row r="320" s="443" customFormat="1"/>
    <row r="321" s="443" customFormat="1"/>
    <row r="322" s="443" customFormat="1"/>
    <row r="323" s="443" customFormat="1"/>
    <row r="324" s="443" customFormat="1"/>
    <row r="325" s="443" customFormat="1"/>
    <row r="326" s="443" customFormat="1"/>
    <row r="327" s="443" customFormat="1"/>
    <row r="328" s="443" customFormat="1"/>
    <row r="329" s="443" customFormat="1"/>
  </sheetData>
  <sheetProtection algorithmName="SHA-512" hashValue="IaA28L76IhKiLWkoCY8M545XoVtqEkSvMy2RTOMp18omuA9nYQ4CZsEe9mTkW1rlCHCa3mizsHhMSN/c1sulog==" saltValue="EgWPDvhVoK+LOfpQHpqJWQ==" spinCount="100000" sheet="1" selectLockedCells="1" selectUnlockedCells="1"/>
  <mergeCells count="23">
    <mergeCell ref="A60:B60"/>
    <mergeCell ref="A48:B48"/>
    <mergeCell ref="C48:G48"/>
    <mergeCell ref="A49:B49"/>
    <mergeCell ref="A56:B56"/>
    <mergeCell ref="A59:B59"/>
    <mergeCell ref="C59:G59"/>
    <mergeCell ref="A3:B3"/>
    <mergeCell ref="C3:H3"/>
    <mergeCell ref="A34:B34"/>
    <mergeCell ref="A5:B5"/>
    <mergeCell ref="A18:B18"/>
    <mergeCell ref="A11:B11"/>
    <mergeCell ref="C11:D11"/>
    <mergeCell ref="A27:B27"/>
    <mergeCell ref="A45:B45"/>
    <mergeCell ref="A17:B17"/>
    <mergeCell ref="C17:G17"/>
    <mergeCell ref="A37:B37"/>
    <mergeCell ref="C37:G37"/>
    <mergeCell ref="A38:B38"/>
    <mergeCell ref="A26:B26"/>
    <mergeCell ref="C26:G26"/>
  </mergeCells>
  <phoneticPr fontId="4" type="noConversion"/>
  <conditionalFormatting sqref="H22:H25 H31:H33 H42:H45 H53:H56 H64:H66 G65">
    <cfRule type="cellIs" dxfId="2" priority="34" stopIfTrue="1" operator="equal">
      <formula>"Adecuado"</formula>
    </cfRule>
    <cfRule type="cellIs" dxfId="1" priority="35" stopIfTrue="1" operator="equal">
      <formula>"Regular"</formula>
    </cfRule>
    <cfRule type="cellIs" dxfId="0" priority="36" stopIfTrue="1" operator="equal">
      <formula>"Deficiente"</formula>
    </cfRule>
  </conditionalFormatting>
  <printOptions horizontalCentered="1" verticalCentered="1"/>
  <pageMargins left="0.43307086614173229" right="0.27559055118110237" top="0.70866141732283472" bottom="0.98425196850393704" header="0" footer="0"/>
  <pageSetup paperSize="9" scale="90"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20">
    <tabColor rgb="FF00B050"/>
  </sheetPr>
  <dimension ref="A1:H35"/>
  <sheetViews>
    <sheetView workbookViewId="0">
      <selection sqref="A1:XFD1048576"/>
    </sheetView>
  </sheetViews>
  <sheetFormatPr baseColWidth="10" defaultColWidth="11.42578125" defaultRowHeight="12.75"/>
  <cols>
    <col min="1" max="1" width="19.140625" style="56" customWidth="1"/>
    <col min="2" max="2" width="19.28515625" style="56" customWidth="1"/>
    <col min="3" max="3" width="11.42578125" style="56" customWidth="1"/>
    <col min="4" max="6" width="11.42578125" style="56"/>
    <col min="7" max="7" width="11.42578125" style="56" customWidth="1"/>
    <col min="8" max="16384" width="11.42578125" style="56"/>
  </cols>
  <sheetData>
    <row r="1" spans="1:6" s="203" customFormat="1" ht="20.25" customHeight="1" thickBot="1">
      <c r="A1" s="202" t="s">
        <v>18</v>
      </c>
    </row>
    <row r="2" spans="1:6" s="107" customFormat="1" ht="18" customHeight="1" thickBot="1">
      <c r="A2" s="204" t="str">
        <f>+Ficha!A4:B4</f>
        <v>RED</v>
      </c>
      <c r="B2" s="732" t="str">
        <f>+Performance!C3</f>
        <v>MOYOBAMBA</v>
      </c>
      <c r="C2" s="733"/>
      <c r="D2" s="733"/>
      <c r="E2" s="733"/>
      <c r="F2" s="734"/>
    </row>
    <row r="3" spans="1:6" ht="18" customHeight="1"/>
    <row r="26" spans="1:8" ht="18">
      <c r="A26" s="96" t="s">
        <v>204</v>
      </c>
    </row>
    <row r="27" spans="1:8" s="296" customFormat="1" ht="18">
      <c r="A27" s="295"/>
      <c r="B27" s="735" t="s">
        <v>205</v>
      </c>
      <c r="C27" s="735"/>
      <c r="D27" s="735" t="s">
        <v>206</v>
      </c>
      <c r="E27" s="735"/>
    </row>
    <row r="28" spans="1:8" s="296" customFormat="1" ht="25.5">
      <c r="A28" s="295"/>
      <c r="B28" s="249" t="s">
        <v>539</v>
      </c>
      <c r="C28" s="249" t="s">
        <v>541</v>
      </c>
      <c r="D28" s="249" t="s">
        <v>540</v>
      </c>
      <c r="E28" s="249" t="s">
        <v>544</v>
      </c>
      <c r="F28" s="297" t="s">
        <v>207</v>
      </c>
      <c r="G28" s="297"/>
      <c r="H28" s="297" t="s">
        <v>208</v>
      </c>
    </row>
    <row r="29" spans="1:8" s="296" customFormat="1">
      <c r="A29" s="114" t="s">
        <v>131</v>
      </c>
      <c r="B29" s="296" t="e">
        <f>+VLOOKUP($B$2,Atend_Atenc!$C$3:$AI$6,2,FALSE)</f>
        <v>#N/A</v>
      </c>
      <c r="C29" s="296" t="e">
        <f>+VLOOKUP($B$2,Atend_Atenc!$C$3:$AI$6,12,FALSE)</f>
        <v>#N/A</v>
      </c>
      <c r="D29" s="296" t="e">
        <f>+VLOOKUP($B$2,Atend_Atenc!$C$3:$AI$6,7,FALSE)</f>
        <v>#N/A</v>
      </c>
      <c r="E29" s="296" t="e">
        <f>+VLOOKUP($B$2,Atend_Atenc!$C$3:$AI$6,17,FALSE)</f>
        <v>#N/A</v>
      </c>
      <c r="F29" s="298" t="e">
        <f>+VLOOKUP($B$2,Atend_Atenc!$C$3:$AI$6,23,FALSE)</f>
        <v>#N/A</v>
      </c>
      <c r="G29" s="299" t="e">
        <f>1-F29</f>
        <v>#N/A</v>
      </c>
      <c r="H29" s="300" t="e">
        <f>+VLOOKUP($B$2,Atend_Atenc!$C$3:$AI$6,29,FALSE)</f>
        <v>#N/A</v>
      </c>
    </row>
    <row r="30" spans="1:8" s="296" customFormat="1">
      <c r="A30" s="114" t="s">
        <v>132</v>
      </c>
      <c r="B30" s="296" t="e">
        <f>+VLOOKUP($B$2,Atend_Atenc!$C$3:$AI$6,3,FALSE)</f>
        <v>#N/A</v>
      </c>
      <c r="C30" s="296" t="e">
        <f>+VLOOKUP($B$2,Atend_Atenc!$C$3:$AI$6,13,FALSE)</f>
        <v>#N/A</v>
      </c>
      <c r="D30" s="296" t="e">
        <f>+VLOOKUP($B$2,Atend_Atenc!$C$3:$AI$6,8,FALSE)</f>
        <v>#N/A</v>
      </c>
      <c r="E30" s="296" t="e">
        <f>+VLOOKUP($B$2,Atend_Atenc!$C$3:$AI$6,18,FALSE)</f>
        <v>#N/A</v>
      </c>
      <c r="F30" s="298" t="e">
        <f>+VLOOKUP($B$2,Atend_Atenc!$C$3:$AI$6,24,FALSE)</f>
        <v>#N/A</v>
      </c>
      <c r="G30" s="299" t="e">
        <f t="shared" ref="G30:G33" si="0">1-F30</f>
        <v>#N/A</v>
      </c>
      <c r="H30" s="300" t="e">
        <f>+VLOOKUP($B$2,Atend_Atenc!$C$3:$AI$6,30,FALSE)</f>
        <v>#N/A</v>
      </c>
    </row>
    <row r="31" spans="1:8" s="296" customFormat="1">
      <c r="A31" s="114" t="s">
        <v>133</v>
      </c>
      <c r="B31" s="296" t="e">
        <f>+VLOOKUP($B$2,Atend_Atenc!$C$3:$AI$6,4,FALSE)</f>
        <v>#N/A</v>
      </c>
      <c r="C31" s="296" t="e">
        <f>+VLOOKUP($B$2,Atend_Atenc!$C$3:$AI$6,14,FALSE)</f>
        <v>#N/A</v>
      </c>
      <c r="D31" s="296" t="e">
        <f>+VLOOKUP($B$2,Atend_Atenc!$C$3:$AI$6,9,FALSE)</f>
        <v>#N/A</v>
      </c>
      <c r="E31" s="296" t="e">
        <f>+VLOOKUP($B$2,Atend_Atenc!$C$3:$AI$6,19,FALSE)</f>
        <v>#N/A</v>
      </c>
      <c r="F31" s="298" t="e">
        <f>+VLOOKUP($B$2,Atend_Atenc!$C$3:$AI$6,25,FALSE)</f>
        <v>#N/A</v>
      </c>
      <c r="G31" s="299" t="e">
        <f t="shared" si="0"/>
        <v>#N/A</v>
      </c>
      <c r="H31" s="300" t="e">
        <f>+VLOOKUP($B$2,Atend_Atenc!$C$3:$AI$6,31,FALSE)</f>
        <v>#N/A</v>
      </c>
    </row>
    <row r="32" spans="1:8" s="296" customFormat="1">
      <c r="A32" s="114" t="s">
        <v>134</v>
      </c>
      <c r="B32" s="296" t="e">
        <f>+VLOOKUP($B$2,Atend_Atenc!$C$3:$AI$6,5,FALSE)</f>
        <v>#N/A</v>
      </c>
      <c r="C32" s="296" t="e">
        <f>+VLOOKUP($B$2,Atend_Atenc!$C$3:$AI$6,15,FALSE)</f>
        <v>#N/A</v>
      </c>
      <c r="D32" s="296" t="e">
        <f>+VLOOKUP($B$2,Atend_Atenc!$C$3:$AI$6,10,FALSE)</f>
        <v>#N/A</v>
      </c>
      <c r="E32" s="296" t="e">
        <f>+VLOOKUP($B$2,Atend_Atenc!$C$3:$AI$6,20,FALSE)</f>
        <v>#N/A</v>
      </c>
      <c r="F32" s="298" t="e">
        <f>+VLOOKUP($B$2,Atend_Atenc!$C$3:$AI$6,26,FALSE)</f>
        <v>#N/A</v>
      </c>
      <c r="G32" s="299" t="e">
        <f t="shared" si="0"/>
        <v>#N/A</v>
      </c>
      <c r="H32" s="300" t="e">
        <f>+VLOOKUP($B$2,Atend_Atenc!$C$3:$AI$6,32,FALSE)</f>
        <v>#N/A</v>
      </c>
    </row>
    <row r="33" spans="1:8" s="296" customFormat="1">
      <c r="A33" s="114" t="s">
        <v>136</v>
      </c>
      <c r="B33" s="296" t="e">
        <f>+VLOOKUP($B$2,Atend_Atenc!$C$3:$AI$6,6,FALSE)</f>
        <v>#N/A</v>
      </c>
      <c r="C33" s="296" t="e">
        <f>+VLOOKUP($B$2,Atend_Atenc!$C$3:$AI$6,16,FALSE)</f>
        <v>#N/A</v>
      </c>
      <c r="D33" s="296" t="e">
        <f>+VLOOKUP($B$2,Atend_Atenc!$C$3:$AI$6,11,FALSE)</f>
        <v>#N/A</v>
      </c>
      <c r="E33" s="296" t="e">
        <f>+VLOOKUP($B$2,Atend_Atenc!$C$3:$AI$6,21,FALSE)</f>
        <v>#N/A</v>
      </c>
      <c r="F33" s="298" t="e">
        <f>+VLOOKUP($B$2,Atend_Atenc!$C$3:$AI$6,27,FALSE)</f>
        <v>#N/A</v>
      </c>
      <c r="G33" s="299" t="e">
        <f t="shared" si="0"/>
        <v>#N/A</v>
      </c>
      <c r="H33" s="300" t="e">
        <f>+VLOOKUP($B$2,Atend_Atenc!$C$3:$AI$6,33,FALSE)</f>
        <v>#N/A</v>
      </c>
    </row>
    <row r="34" spans="1:8" s="296" customFormat="1" ht="18">
      <c r="A34" s="295"/>
    </row>
    <row r="35" spans="1:8" ht="18">
      <c r="A35" s="96"/>
    </row>
  </sheetData>
  <sheetProtection algorithmName="SHA-512" hashValue="QnlUrU3BXD9mSV1Tfh4O2x4CS5jmj1fYS+oM0DEzGQtMRg52JPpjwezVbxnCYGHtQxc0H/L8/9PwDDVkr7Ly0Q==" saltValue="IRnXX6raQot19uOFTzkzLQ==" spinCount="100000" sheet="1" objects="1" scenarios="1"/>
  <mergeCells count="3">
    <mergeCell ref="B2:F2"/>
    <mergeCell ref="B27:C27"/>
    <mergeCell ref="D27:E27"/>
  </mergeCells>
  <pageMargins left="0.75" right="0.75" top="1" bottom="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7">
    <tabColor rgb="FF00B050"/>
  </sheetPr>
  <dimension ref="A1:E27"/>
  <sheetViews>
    <sheetView topLeftCell="A7" workbookViewId="0">
      <selection activeCell="C6" sqref="C6"/>
    </sheetView>
  </sheetViews>
  <sheetFormatPr baseColWidth="10" defaultColWidth="11.42578125" defaultRowHeight="12.75"/>
  <cols>
    <col min="1" max="1" width="6.28515625" style="1" customWidth="1"/>
    <col min="2" max="2" width="70.140625" style="1" customWidth="1"/>
    <col min="3" max="3" width="86" style="1" customWidth="1"/>
    <col min="4" max="16384" width="11.42578125" style="1"/>
  </cols>
  <sheetData>
    <row r="1" spans="1:5" s="12" customFormat="1" ht="27" customHeight="1" thickBot="1">
      <c r="A1" s="206" t="s">
        <v>129</v>
      </c>
      <c r="B1" s="206"/>
      <c r="C1" s="206"/>
    </row>
    <row r="2" spans="1:5" ht="26.25" customHeight="1" thickBot="1">
      <c r="A2" s="736" t="str">
        <f>Ficha!A4:B4</f>
        <v>RED</v>
      </c>
      <c r="B2" s="737"/>
      <c r="C2" s="205" t="str">
        <f>+Ficha!C4</f>
        <v>RED MOYOBAMBA</v>
      </c>
      <c r="D2" s="17"/>
      <c r="E2" s="17"/>
    </row>
    <row r="3" spans="1:5" ht="20.25" customHeight="1" thickBot="1"/>
    <row r="4" spans="1:5" s="58" customFormat="1" ht="24.75" customHeight="1" thickBot="1">
      <c r="A4" s="738" t="s">
        <v>55</v>
      </c>
      <c r="B4" s="739"/>
      <c r="C4" s="207" t="s">
        <v>56</v>
      </c>
    </row>
    <row r="5" spans="1:5" ht="26.25" customHeight="1">
      <c r="A5" s="209">
        <v>1</v>
      </c>
      <c r="B5" s="210" t="s">
        <v>52</v>
      </c>
      <c r="C5" s="211"/>
    </row>
    <row r="6" spans="1:5" ht="45" customHeight="1">
      <c r="A6" s="18" t="s">
        <v>46</v>
      </c>
      <c r="B6" s="20"/>
      <c r="C6" s="24"/>
    </row>
    <row r="7" spans="1:5" ht="45" customHeight="1">
      <c r="A7" s="18" t="s">
        <v>47</v>
      </c>
      <c r="B7" s="115"/>
      <c r="C7" s="118"/>
    </row>
    <row r="8" spans="1:5" ht="45" customHeight="1">
      <c r="A8" s="18">
        <v>1.3</v>
      </c>
      <c r="B8" s="115"/>
      <c r="C8" s="120"/>
    </row>
    <row r="9" spans="1:5" ht="29.25" customHeight="1">
      <c r="A9" s="212">
        <v>2</v>
      </c>
      <c r="B9" s="213" t="s">
        <v>53</v>
      </c>
      <c r="C9" s="214"/>
    </row>
    <row r="10" spans="1:5" ht="45" customHeight="1">
      <c r="A10" s="18" t="s">
        <v>48</v>
      </c>
      <c r="B10" s="116"/>
      <c r="C10" s="30"/>
    </row>
    <row r="11" spans="1:5" ht="45" customHeight="1">
      <c r="A11" s="18" t="s">
        <v>49</v>
      </c>
      <c r="B11" s="22"/>
      <c r="C11" s="29"/>
    </row>
    <row r="12" spans="1:5" ht="45" customHeight="1">
      <c r="A12" s="18" t="s">
        <v>50</v>
      </c>
      <c r="B12" s="22"/>
      <c r="C12" s="119"/>
    </row>
    <row r="13" spans="1:5" ht="45" customHeight="1" thickBot="1">
      <c r="A13" s="19" t="s">
        <v>51</v>
      </c>
      <c r="B13" s="27"/>
      <c r="C13" s="28"/>
    </row>
    <row r="14" spans="1:5">
      <c r="A14" s="35" t="s">
        <v>410</v>
      </c>
    </row>
    <row r="15" spans="1:5">
      <c r="A15" s="1" t="s">
        <v>54</v>
      </c>
    </row>
    <row r="16" spans="1:5" ht="13.5" thickBot="1"/>
    <row r="17" spans="1:3" ht="24.75" customHeight="1" thickBot="1">
      <c r="A17" s="740" t="s">
        <v>57</v>
      </c>
      <c r="B17" s="741"/>
      <c r="C17" s="208" t="s">
        <v>58</v>
      </c>
    </row>
    <row r="18" spans="1:3" ht="29.25" customHeight="1">
      <c r="A18" s="209">
        <v>1</v>
      </c>
      <c r="B18" s="210" t="s">
        <v>60</v>
      </c>
      <c r="C18" s="211"/>
    </row>
    <row r="19" spans="1:3" ht="45" customHeight="1">
      <c r="A19" s="18" t="s">
        <v>46</v>
      </c>
      <c r="B19" s="23"/>
      <c r="C19" s="30"/>
    </row>
    <row r="20" spans="1:3" ht="45" customHeight="1">
      <c r="A20" s="18" t="s">
        <v>47</v>
      </c>
      <c r="B20" s="3"/>
      <c r="C20" s="25"/>
    </row>
    <row r="21" spans="1:3" ht="29.25" customHeight="1">
      <c r="A21" s="212">
        <v>2</v>
      </c>
      <c r="B21" s="213" t="s">
        <v>61</v>
      </c>
      <c r="C21" s="214"/>
    </row>
    <row r="22" spans="1:3" ht="45" customHeight="1">
      <c r="A22" s="18">
        <v>2.1</v>
      </c>
      <c r="B22" s="115"/>
      <c r="C22" s="271"/>
    </row>
    <row r="23" spans="1:3" ht="45" customHeight="1">
      <c r="A23" s="18" t="s">
        <v>49</v>
      </c>
      <c r="B23" s="22"/>
      <c r="C23" s="32"/>
    </row>
    <row r="24" spans="1:3" ht="45" customHeight="1">
      <c r="A24" s="18" t="s">
        <v>50</v>
      </c>
      <c r="B24" s="21"/>
      <c r="C24" s="31"/>
    </row>
    <row r="25" spans="1:3" ht="45" customHeight="1" thickBot="1">
      <c r="A25" s="19" t="s">
        <v>51</v>
      </c>
      <c r="B25" s="26"/>
      <c r="C25" s="28"/>
    </row>
    <row r="26" spans="1:3">
      <c r="A26" s="35" t="s">
        <v>411</v>
      </c>
    </row>
    <row r="27" spans="1:3">
      <c r="A27" s="1" t="s">
        <v>59</v>
      </c>
    </row>
  </sheetData>
  <mergeCells count="3">
    <mergeCell ref="A2:B2"/>
    <mergeCell ref="A4:B4"/>
    <mergeCell ref="A17:B17"/>
  </mergeCells>
  <phoneticPr fontId="4" type="noConversion"/>
  <printOptions horizontalCentered="1" verticalCentered="1"/>
  <pageMargins left="0.39" right="0.37" top="0.46" bottom="0.53" header="0" footer="0"/>
  <pageSetup paperSize="9" scale="60" orientation="portrait" r:id="rId1"/>
  <headerFooter alignWithMargins="0"/>
  <ignoredErrors>
    <ignoredError sqref="A23:A25 A19:A20 A10:A13 A6"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65533-2F64-4F5F-A0CB-8EE9F7FE33B2}">
  <sheetPr codeName="Hoja9">
    <tabColor rgb="FF00B050"/>
  </sheetPr>
  <dimension ref="A16:D20"/>
  <sheetViews>
    <sheetView workbookViewId="0">
      <selection activeCell="A19" sqref="A19"/>
    </sheetView>
  </sheetViews>
  <sheetFormatPr baseColWidth="10" defaultRowHeight="12.75"/>
  <cols>
    <col min="1" max="1" width="26" style="41" bestFit="1" customWidth="1"/>
    <col min="2" max="16384" width="11.42578125" style="41"/>
  </cols>
  <sheetData>
    <row r="16" spans="1:4" ht="15">
      <c r="A16" s="309" t="s">
        <v>278</v>
      </c>
      <c r="B16" s="310" t="s">
        <v>488</v>
      </c>
      <c r="C16" s="310" t="s">
        <v>489</v>
      </c>
      <c r="D16" s="310" t="s">
        <v>555</v>
      </c>
    </row>
    <row r="17" spans="1:4">
      <c r="A17" s="311">
        <v>1</v>
      </c>
      <c r="B17" s="306">
        <v>4.01</v>
      </c>
      <c r="C17" s="306">
        <v>4.45</v>
      </c>
      <c r="D17" s="306">
        <v>4.0999999999999996</v>
      </c>
    </row>
    <row r="18" spans="1:4">
      <c r="A18" s="311">
        <v>2</v>
      </c>
      <c r="B18" s="306">
        <v>4.0999999999999996</v>
      </c>
      <c r="C18" s="306">
        <v>4.0999999999999996</v>
      </c>
      <c r="D18" s="306">
        <v>4.18</v>
      </c>
    </row>
    <row r="19" spans="1:4">
      <c r="A19" s="311">
        <v>3</v>
      </c>
      <c r="B19" s="306">
        <v>4.01</v>
      </c>
      <c r="C19" s="306">
        <v>4.2699999999999996</v>
      </c>
      <c r="D19" s="306">
        <v>4.2699999999999996</v>
      </c>
    </row>
    <row r="20" spans="1:4">
      <c r="A20" s="311">
        <v>4</v>
      </c>
      <c r="B20" s="306">
        <v>4.18</v>
      </c>
      <c r="C20" s="306">
        <v>4.3600000000000003</v>
      </c>
      <c r="D20" s="306">
        <v>4.45</v>
      </c>
    </row>
  </sheetData>
  <autoFilter ref="A16:D24" xr:uid="{0FB65533-2F64-4F5F-A0CB-8EE9F7FE33B2}">
    <sortState xmlns:xlrd2="http://schemas.microsoft.com/office/spreadsheetml/2017/richdata2" ref="A17:D24">
      <sortCondition ref="D16:D24"/>
    </sortState>
  </autoFilter>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124B3-AA6E-4B6B-8078-06529605E1E9}">
  <sheetPr codeName="Hoja10">
    <tabColor rgb="FF00B050"/>
  </sheetPr>
  <dimension ref="A1:II14"/>
  <sheetViews>
    <sheetView tabSelected="1" workbookViewId="0">
      <pane xSplit="3" ySplit="5" topLeftCell="CF6" activePane="bottomRight" state="frozen"/>
      <selection pane="topRight" activeCell="D1" sqref="D1"/>
      <selection pane="bottomLeft" activeCell="A6" sqref="A6"/>
      <selection pane="bottomRight" activeCell="CP23" sqref="CP23"/>
    </sheetView>
  </sheetViews>
  <sheetFormatPr baseColWidth="10" defaultRowHeight="12.75"/>
  <cols>
    <col min="1" max="1" width="3.140625" bestFit="1" customWidth="1"/>
    <col min="2" max="2" width="18.42578125" customWidth="1"/>
    <col min="3" max="3" width="35.140625" customWidth="1"/>
    <col min="4" max="57" width="5.28515625" customWidth="1"/>
    <col min="58" max="58" width="9.7109375" bestFit="1" customWidth="1"/>
    <col min="59" max="63" width="5.28515625" customWidth="1"/>
    <col min="64" max="75" width="3.140625" style="272" customWidth="1"/>
    <col min="76" max="81" width="3.140625" customWidth="1"/>
    <col min="82" max="87" width="4.28515625" customWidth="1"/>
    <col min="88" max="93" width="3.140625" customWidth="1"/>
    <col min="94" max="99" width="4.7109375" customWidth="1"/>
    <col min="100" max="117" width="3.140625" customWidth="1"/>
    <col min="118" max="118" width="4.7109375" customWidth="1"/>
    <col min="119" max="119" width="3.85546875" customWidth="1"/>
    <col min="120" max="120" width="4.28515625" customWidth="1"/>
    <col min="121" max="122" width="4.42578125" customWidth="1"/>
    <col min="123" max="123" width="3.140625" customWidth="1"/>
    <col min="124" max="124" width="3.85546875" customWidth="1"/>
    <col min="125" max="129" width="3.140625" customWidth="1"/>
    <col min="130" max="130" width="4.7109375" customWidth="1"/>
    <col min="131" max="131" width="5.28515625" customWidth="1"/>
    <col min="132" max="132" width="4.5703125" customWidth="1"/>
    <col min="133" max="133" width="3.140625" customWidth="1"/>
    <col min="134" max="134" width="4.5703125" customWidth="1"/>
    <col min="135" max="135" width="5.5703125" customWidth="1"/>
    <col min="136" max="147" width="3.140625" customWidth="1"/>
    <col min="148" max="148" width="8.5703125" customWidth="1"/>
    <col min="149" max="213" width="3.140625" customWidth="1"/>
    <col min="214" max="231" width="3.28515625" bestFit="1" customWidth="1"/>
    <col min="232" max="241" width="4" bestFit="1" customWidth="1"/>
    <col min="242" max="243" width="3.28515625" bestFit="1" customWidth="1"/>
  </cols>
  <sheetData>
    <row r="1" spans="1:243">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c r="AS1">
        <v>45</v>
      </c>
      <c r="AT1">
        <v>46</v>
      </c>
      <c r="AU1">
        <v>47</v>
      </c>
      <c r="AV1">
        <v>48</v>
      </c>
      <c r="AW1">
        <v>49</v>
      </c>
      <c r="AX1">
        <v>50</v>
      </c>
      <c r="AY1">
        <v>51</v>
      </c>
      <c r="AZ1">
        <v>52</v>
      </c>
      <c r="BA1">
        <v>53</v>
      </c>
      <c r="BB1">
        <v>54</v>
      </c>
      <c r="BC1">
        <v>55</v>
      </c>
      <c r="BD1">
        <v>56</v>
      </c>
      <c r="BE1">
        <v>57</v>
      </c>
      <c r="BF1">
        <v>58</v>
      </c>
      <c r="BG1">
        <v>59</v>
      </c>
      <c r="BH1">
        <v>60</v>
      </c>
      <c r="BI1">
        <v>61</v>
      </c>
      <c r="BJ1">
        <v>62</v>
      </c>
      <c r="BK1">
        <v>63</v>
      </c>
    </row>
    <row r="2" spans="1:243">
      <c r="D2">
        <v>1</v>
      </c>
      <c r="E2">
        <v>2</v>
      </c>
      <c r="F2">
        <v>3</v>
      </c>
      <c r="G2">
        <v>4</v>
      </c>
      <c r="H2">
        <v>5</v>
      </c>
      <c r="I2">
        <v>6</v>
      </c>
      <c r="J2">
        <v>7</v>
      </c>
      <c r="K2">
        <v>8</v>
      </c>
      <c r="L2">
        <v>9</v>
      </c>
      <c r="M2">
        <v>10</v>
      </c>
      <c r="N2">
        <v>11</v>
      </c>
      <c r="O2">
        <v>12</v>
      </c>
      <c r="P2">
        <v>13</v>
      </c>
      <c r="Q2">
        <v>14</v>
      </c>
      <c r="R2">
        <v>15</v>
      </c>
      <c r="S2">
        <v>16</v>
      </c>
      <c r="T2">
        <v>17</v>
      </c>
      <c r="U2">
        <v>18</v>
      </c>
      <c r="V2">
        <v>19</v>
      </c>
      <c r="W2">
        <v>20</v>
      </c>
      <c r="X2">
        <v>21</v>
      </c>
      <c r="Y2">
        <v>22</v>
      </c>
      <c r="Z2">
        <v>23</v>
      </c>
      <c r="AA2">
        <v>24</v>
      </c>
      <c r="AB2">
        <v>25</v>
      </c>
      <c r="AC2">
        <v>26</v>
      </c>
      <c r="AD2">
        <v>27</v>
      </c>
      <c r="AE2">
        <v>28</v>
      </c>
      <c r="AF2">
        <v>29</v>
      </c>
      <c r="AG2">
        <v>30</v>
      </c>
      <c r="AH2">
        <v>1</v>
      </c>
      <c r="AI2">
        <v>2</v>
      </c>
      <c r="AJ2">
        <v>3</v>
      </c>
      <c r="AK2">
        <v>4</v>
      </c>
      <c r="AL2">
        <v>5</v>
      </c>
      <c r="AM2">
        <v>6</v>
      </c>
      <c r="AN2">
        <v>7</v>
      </c>
      <c r="AO2">
        <v>8</v>
      </c>
      <c r="AP2">
        <v>9</v>
      </c>
      <c r="AQ2">
        <v>10</v>
      </c>
      <c r="AR2">
        <v>11</v>
      </c>
      <c r="AS2">
        <v>12</v>
      </c>
      <c r="AT2">
        <v>13</v>
      </c>
      <c r="AU2">
        <v>14</v>
      </c>
      <c r="AV2">
        <v>15</v>
      </c>
      <c r="AW2">
        <v>16</v>
      </c>
      <c r="AX2">
        <v>17</v>
      </c>
      <c r="AY2">
        <v>18</v>
      </c>
      <c r="AZ2">
        <v>19</v>
      </c>
      <c r="BA2">
        <v>20</v>
      </c>
      <c r="BB2">
        <v>21</v>
      </c>
      <c r="BC2">
        <v>22</v>
      </c>
      <c r="BD2">
        <v>23</v>
      </c>
      <c r="BE2">
        <v>24</v>
      </c>
      <c r="BF2">
        <v>25</v>
      </c>
      <c r="BG2">
        <v>26</v>
      </c>
      <c r="BH2">
        <v>27</v>
      </c>
      <c r="BI2">
        <v>28</v>
      </c>
      <c r="BJ2">
        <v>29</v>
      </c>
      <c r="BK2">
        <v>30</v>
      </c>
      <c r="BL2" s="744">
        <v>1</v>
      </c>
      <c r="BM2" s="745"/>
      <c r="BN2" s="745"/>
      <c r="BO2" s="745"/>
      <c r="BP2" s="745"/>
      <c r="BQ2" s="745"/>
      <c r="BR2" s="744">
        <v>2</v>
      </c>
      <c r="BS2" s="745"/>
      <c r="BT2" s="745"/>
      <c r="BU2" s="745"/>
      <c r="BV2" s="745"/>
      <c r="BW2" s="745"/>
      <c r="BX2" s="744">
        <v>3</v>
      </c>
      <c r="BY2" s="745"/>
      <c r="BZ2" s="745"/>
      <c r="CA2" s="745"/>
      <c r="CB2" s="745"/>
      <c r="CC2" s="746"/>
      <c r="CD2" s="744">
        <v>4</v>
      </c>
      <c r="CE2" s="745"/>
      <c r="CF2" s="745"/>
      <c r="CG2" s="745"/>
      <c r="CH2" s="745"/>
      <c r="CI2" s="745"/>
      <c r="CJ2" s="744">
        <v>5</v>
      </c>
      <c r="CK2" s="745"/>
      <c r="CL2" s="745"/>
      <c r="CM2" s="745"/>
      <c r="CN2" s="745"/>
      <c r="CO2" s="745"/>
      <c r="CP2" s="744">
        <v>6</v>
      </c>
      <c r="CQ2" s="745"/>
      <c r="CR2" s="745"/>
      <c r="CS2" s="745"/>
      <c r="CT2" s="745"/>
      <c r="CU2" s="746"/>
      <c r="CV2" s="744">
        <v>7</v>
      </c>
      <c r="CW2" s="745"/>
      <c r="CX2" s="745"/>
      <c r="CY2" s="745"/>
      <c r="CZ2" s="745"/>
      <c r="DA2" s="745"/>
      <c r="DB2" s="744">
        <v>8</v>
      </c>
      <c r="DC2" s="745"/>
      <c r="DD2" s="745"/>
      <c r="DE2" s="745"/>
      <c r="DF2" s="745"/>
      <c r="DG2" s="745"/>
      <c r="DH2" s="744">
        <v>9</v>
      </c>
      <c r="DI2" s="745"/>
      <c r="DJ2" s="745"/>
      <c r="DK2" s="745"/>
      <c r="DL2" s="745"/>
      <c r="DM2" s="746"/>
      <c r="DN2" s="744">
        <v>10</v>
      </c>
      <c r="DO2" s="745"/>
      <c r="DP2" s="745"/>
      <c r="DQ2" s="745"/>
      <c r="DR2" s="745"/>
      <c r="DS2" s="745"/>
      <c r="DT2" s="744">
        <v>11</v>
      </c>
      <c r="DU2" s="745"/>
      <c r="DV2" s="745"/>
      <c r="DW2" s="745"/>
      <c r="DX2" s="745"/>
      <c r="DY2" s="745"/>
      <c r="DZ2" s="744">
        <v>12</v>
      </c>
      <c r="EA2" s="745"/>
      <c r="EB2" s="745"/>
      <c r="EC2" s="745"/>
      <c r="ED2" s="745"/>
      <c r="EE2" s="746"/>
      <c r="EF2" s="744">
        <v>13</v>
      </c>
      <c r="EG2" s="745"/>
      <c r="EH2" s="745"/>
      <c r="EI2" s="745"/>
      <c r="EJ2" s="745"/>
      <c r="EK2" s="745"/>
      <c r="EL2" s="744">
        <v>14</v>
      </c>
      <c r="EM2" s="745"/>
      <c r="EN2" s="745"/>
      <c r="EO2" s="745"/>
      <c r="EP2" s="745"/>
      <c r="EQ2" s="745"/>
      <c r="ER2" s="744">
        <v>15</v>
      </c>
      <c r="ES2" s="745"/>
      <c r="ET2" s="745"/>
      <c r="EU2" s="745"/>
      <c r="EV2" s="745"/>
      <c r="EW2" s="746"/>
      <c r="EX2" s="744">
        <v>16</v>
      </c>
      <c r="EY2" s="745"/>
      <c r="EZ2" s="745"/>
      <c r="FA2" s="745"/>
      <c r="FB2" s="745"/>
      <c r="FC2" s="745"/>
      <c r="FD2" s="744">
        <v>17</v>
      </c>
      <c r="FE2" s="745"/>
      <c r="FF2" s="745"/>
      <c r="FG2" s="745"/>
      <c r="FH2" s="745"/>
      <c r="FI2" s="745"/>
      <c r="FJ2" s="744">
        <v>18</v>
      </c>
      <c r="FK2" s="745"/>
      <c r="FL2" s="745"/>
      <c r="FM2" s="745"/>
      <c r="FN2" s="745"/>
      <c r="FO2" s="746"/>
      <c r="FP2" s="744">
        <v>19</v>
      </c>
      <c r="FQ2" s="745"/>
      <c r="FR2" s="745"/>
      <c r="FS2" s="745"/>
      <c r="FT2" s="745"/>
      <c r="FU2" s="745"/>
      <c r="FV2" s="744">
        <v>20</v>
      </c>
      <c r="FW2" s="745"/>
      <c r="FX2" s="745"/>
      <c r="FY2" s="745"/>
      <c r="FZ2" s="745"/>
      <c r="GA2" s="745"/>
      <c r="GB2" s="744">
        <v>21</v>
      </c>
      <c r="GC2" s="745"/>
      <c r="GD2" s="745"/>
      <c r="GE2" s="745"/>
      <c r="GF2" s="745"/>
      <c r="GG2" s="746"/>
      <c r="GH2" s="744">
        <v>22</v>
      </c>
      <c r="GI2" s="745"/>
      <c r="GJ2" s="745"/>
      <c r="GK2" s="745"/>
      <c r="GL2" s="745"/>
      <c r="GM2" s="745"/>
      <c r="GN2" s="744">
        <v>23</v>
      </c>
      <c r="GO2" s="745"/>
      <c r="GP2" s="745"/>
      <c r="GQ2" s="745"/>
      <c r="GR2" s="745"/>
      <c r="GS2" s="745"/>
      <c r="GT2" s="744">
        <v>24</v>
      </c>
      <c r="GU2" s="745"/>
      <c r="GV2" s="745"/>
      <c r="GW2" s="745"/>
      <c r="GX2" s="745"/>
      <c r="GY2" s="746"/>
      <c r="GZ2" s="744">
        <v>25</v>
      </c>
      <c r="HA2" s="745"/>
      <c r="HB2" s="745"/>
      <c r="HC2" s="745"/>
      <c r="HD2" s="745"/>
      <c r="HE2" s="745"/>
      <c r="HF2" s="744">
        <v>26</v>
      </c>
      <c r="HG2" s="745"/>
      <c r="HH2" s="745"/>
      <c r="HI2" s="745"/>
      <c r="HJ2" s="745"/>
      <c r="HK2" s="745"/>
      <c r="HL2" s="744">
        <v>27</v>
      </c>
      <c r="HM2" s="745"/>
      <c r="HN2" s="745"/>
      <c r="HO2" s="745"/>
      <c r="HP2" s="745"/>
      <c r="HQ2" s="746"/>
      <c r="HR2" s="744">
        <v>28</v>
      </c>
      <c r="HS2" s="745"/>
      <c r="HT2" s="745"/>
      <c r="HU2" s="745"/>
      <c r="HV2" s="745"/>
      <c r="HW2" s="745"/>
      <c r="HX2" s="744">
        <v>29</v>
      </c>
      <c r="HY2" s="745"/>
      <c r="HZ2" s="745"/>
      <c r="IA2" s="745"/>
      <c r="IB2" s="745"/>
      <c r="IC2" s="745"/>
      <c r="ID2" s="744">
        <v>30</v>
      </c>
      <c r="IE2" s="745"/>
      <c r="IF2" s="745"/>
      <c r="IG2" s="745"/>
      <c r="IH2" s="745"/>
      <c r="II2" s="746"/>
    </row>
    <row r="3" spans="1:243" ht="116.45" customHeight="1">
      <c r="D3" s="279" t="s">
        <v>296</v>
      </c>
      <c r="E3" s="279" t="s">
        <v>299</v>
      </c>
      <c r="F3" s="279" t="s">
        <v>301</v>
      </c>
      <c r="G3" s="279" t="s">
        <v>483</v>
      </c>
      <c r="H3" s="279" t="s">
        <v>407</v>
      </c>
      <c r="I3" s="279" t="s">
        <v>315</v>
      </c>
      <c r="J3" s="279" t="s">
        <v>375</v>
      </c>
      <c r="K3" s="279" t="s">
        <v>374</v>
      </c>
      <c r="L3" s="279" t="s">
        <v>378</v>
      </c>
      <c r="M3" s="279" t="s">
        <v>319</v>
      </c>
      <c r="N3" s="279" t="s">
        <v>320</v>
      </c>
      <c r="O3" s="279" t="s">
        <v>318</v>
      </c>
      <c r="P3" s="279" t="s">
        <v>380</v>
      </c>
      <c r="Q3" s="279" t="s">
        <v>389</v>
      </c>
      <c r="R3" s="279" t="s">
        <v>391</v>
      </c>
      <c r="S3" s="279" t="s">
        <v>392</v>
      </c>
      <c r="T3" s="279" t="s">
        <v>321</v>
      </c>
      <c r="U3" s="279" t="s">
        <v>322</v>
      </c>
      <c r="V3" s="279" t="s">
        <v>403</v>
      </c>
      <c r="W3" s="279" t="s">
        <v>422</v>
      </c>
      <c r="X3" s="279" t="s">
        <v>397</v>
      </c>
      <c r="Y3" s="279" t="s">
        <v>398</v>
      </c>
      <c r="Z3" s="279" t="s">
        <v>323</v>
      </c>
      <c r="AA3" s="279" t="s">
        <v>484</v>
      </c>
      <c r="AB3" s="279" t="s">
        <v>387</v>
      </c>
      <c r="AC3" s="279" t="s">
        <v>386</v>
      </c>
      <c r="AD3" s="279" t="s">
        <v>328</v>
      </c>
      <c r="AE3" s="279" t="s">
        <v>330</v>
      </c>
      <c r="AF3" s="279" t="s">
        <v>473</v>
      </c>
      <c r="AG3" s="279" t="s">
        <v>475</v>
      </c>
      <c r="AH3" s="279" t="s">
        <v>296</v>
      </c>
      <c r="AI3" s="279" t="s">
        <v>299</v>
      </c>
      <c r="AJ3" s="279" t="s">
        <v>301</v>
      </c>
      <c r="AK3" s="279" t="s">
        <v>483</v>
      </c>
      <c r="AL3" s="279" t="s">
        <v>407</v>
      </c>
      <c r="AM3" s="279" t="s">
        <v>315</v>
      </c>
      <c r="AN3" s="279" t="s">
        <v>375</v>
      </c>
      <c r="AO3" s="279" t="s">
        <v>374</v>
      </c>
      <c r="AP3" s="279" t="s">
        <v>378</v>
      </c>
      <c r="AQ3" s="279" t="s">
        <v>319</v>
      </c>
      <c r="AR3" s="279" t="s">
        <v>320</v>
      </c>
      <c r="AS3" s="279" t="s">
        <v>318</v>
      </c>
      <c r="AT3" s="279" t="s">
        <v>380</v>
      </c>
      <c r="AU3" s="279" t="s">
        <v>389</v>
      </c>
      <c r="AV3" s="279" t="s">
        <v>391</v>
      </c>
      <c r="AW3" s="279" t="s">
        <v>392</v>
      </c>
      <c r="AX3" s="279" t="s">
        <v>321</v>
      </c>
      <c r="AY3" s="279" t="s">
        <v>322</v>
      </c>
      <c r="AZ3" s="279" t="s">
        <v>403</v>
      </c>
      <c r="BA3" s="279" t="s">
        <v>422</v>
      </c>
      <c r="BB3" s="279" t="s">
        <v>397</v>
      </c>
      <c r="BC3" s="279" t="s">
        <v>398</v>
      </c>
      <c r="BD3" s="279" t="s">
        <v>323</v>
      </c>
      <c r="BE3" s="279" t="s">
        <v>484</v>
      </c>
      <c r="BF3" s="279" t="s">
        <v>387</v>
      </c>
      <c r="BG3" s="279" t="s">
        <v>386</v>
      </c>
      <c r="BH3" s="279" t="s">
        <v>328</v>
      </c>
      <c r="BI3" s="279" t="s">
        <v>330</v>
      </c>
      <c r="BJ3" s="279" t="s">
        <v>473</v>
      </c>
      <c r="BK3" s="279" t="s">
        <v>475</v>
      </c>
      <c r="BL3" s="742" t="str">
        <f>+Indicadores!F4</f>
        <v>N° de Muertes Maternas</v>
      </c>
      <c r="BM3" s="743"/>
      <c r="BN3" s="743"/>
      <c r="BO3" s="743"/>
      <c r="BP3" s="743"/>
      <c r="BQ3" s="743"/>
      <c r="BR3" s="742" t="str">
        <f>+Indicadores!F5</f>
        <v>N° de Muertes Neonatales</v>
      </c>
      <c r="BS3" s="743"/>
      <c r="BT3" s="743"/>
      <c r="BU3" s="743"/>
      <c r="BV3" s="743"/>
      <c r="BW3" s="743"/>
      <c r="BX3" s="742" t="str">
        <f>+Indicadores!F6</f>
        <v>N° de Muertes por Dengue</v>
      </c>
      <c r="BY3" s="743"/>
      <c r="BZ3" s="743"/>
      <c r="CA3" s="743"/>
      <c r="CB3" s="743"/>
      <c r="CC3" s="743"/>
      <c r="CD3" s="742" t="str">
        <f>+Indicadores!F7</f>
        <v xml:space="preserve">N° de Gestantes con 1° Atención Prenatal en el I Trimestre </v>
      </c>
      <c r="CE3" s="743"/>
      <c r="CF3" s="743"/>
      <c r="CG3" s="743"/>
      <c r="CH3" s="743"/>
      <c r="CI3" s="743"/>
      <c r="CJ3" s="742" t="str">
        <f>+Indicadores!F8</f>
        <v>N° de Gestantes con 1° Atención Prenatal en el I Trimestre antes de las 14 semanas de gestación, que tengan sus 4 examenes auxiliares, Hemoglobina, VIH, SIFILIS, Examen de Orina</v>
      </c>
      <c r="CK3" s="743"/>
      <c r="CL3" s="743"/>
      <c r="CM3" s="743"/>
      <c r="CN3" s="743"/>
      <c r="CO3" s="743"/>
      <c r="CP3" s="742" t="str">
        <f>+Indicadores!F9</f>
        <v>Nº de Parejas Protegidas con MAC</v>
      </c>
      <c r="CQ3" s="743"/>
      <c r="CR3" s="743"/>
      <c r="CS3" s="743"/>
      <c r="CT3" s="743"/>
      <c r="CU3" s="743"/>
      <c r="CV3" s="742" t="str">
        <f>+Indicadores!F10</f>
        <v>N° de Partos Institucionales</v>
      </c>
      <c r="CW3" s="743"/>
      <c r="CX3" s="743"/>
      <c r="CY3" s="743"/>
      <c r="CZ3" s="743"/>
      <c r="DA3" s="743"/>
      <c r="DB3" s="742" t="str">
        <f>+Indicadores!F11</f>
        <v>N° de Mujeres de 25 a 64 años con Tamizaje de Papanicolao o IVVA</v>
      </c>
      <c r="DC3" s="743"/>
      <c r="DD3" s="743"/>
      <c r="DE3" s="743"/>
      <c r="DF3" s="743"/>
      <c r="DG3" s="743"/>
      <c r="DH3" s="742" t="str">
        <f>+Indicadores!F12</f>
        <v>N° Recien Nacidos protegidos  con vacuna completa (BCG y HvB).</v>
      </c>
      <c r="DI3" s="743"/>
      <c r="DJ3" s="743"/>
      <c r="DK3" s="743"/>
      <c r="DL3" s="743"/>
      <c r="DM3" s="743"/>
      <c r="DN3" s="742" t="str">
        <f>+Indicadores!F13</f>
        <v>N° de niños menores de 1 año protegidos  con vacuna completa (colocar el N° menor de Neumococo2 o Rotavirus2y pentavaente3, apo3).</v>
      </c>
      <c r="DO3" s="743"/>
      <c r="DP3" s="743"/>
      <c r="DQ3" s="743"/>
      <c r="DR3" s="743"/>
      <c r="DS3" s="743"/>
      <c r="DT3" s="742" t="str">
        <f>+Indicadores!F14</f>
        <v>N° de niños protegidos con vacuna completa ( colocar el N° menor SPR2, Neumo3).</v>
      </c>
      <c r="DU3" s="743"/>
      <c r="DV3" s="743"/>
      <c r="DW3" s="743"/>
      <c r="DX3" s="743"/>
      <c r="DY3" s="743"/>
      <c r="DZ3" s="742" t="str">
        <f>+Indicadores!F15</f>
        <v>Niños Controldados CRED Menores de 1 años (Por profesional y tecnico)</v>
      </c>
      <c r="EA3" s="743"/>
      <c r="EB3" s="743"/>
      <c r="EC3" s="743"/>
      <c r="ED3" s="743"/>
      <c r="EE3" s="743"/>
      <c r="EF3" s="742" t="str">
        <f>+Indicadores!F16</f>
        <v>Niños menores de 3 años con Diagnostico de Anemia Recuperados</v>
      </c>
      <c r="EG3" s="743"/>
      <c r="EH3" s="743"/>
      <c r="EI3" s="743"/>
      <c r="EJ3" s="743"/>
      <c r="EK3" s="743"/>
      <c r="EL3" s="742" t="str">
        <f>+Indicadores!F17</f>
        <v>Adolescente con Paquete Completo</v>
      </c>
      <c r="EM3" s="743"/>
      <c r="EN3" s="743"/>
      <c r="EO3" s="743"/>
      <c r="EP3" s="743"/>
      <c r="EQ3" s="743"/>
      <c r="ER3" s="742" t="str">
        <f>+Indicadores!F18</f>
        <v>Adulto con Paquete de Atencion Integral (Plan Concluido)</v>
      </c>
      <c r="ES3" s="743"/>
      <c r="ET3" s="743"/>
      <c r="EU3" s="743"/>
      <c r="EV3" s="743"/>
      <c r="EW3" s="743"/>
      <c r="EX3" s="742" t="str">
        <f>+Indicadores!F19</f>
        <v>Adulto Mayor con Paquete de Atencion Integral (Plan Concluido)</v>
      </c>
      <c r="EY3" s="743"/>
      <c r="EZ3" s="743"/>
      <c r="FA3" s="743"/>
      <c r="FB3" s="743"/>
      <c r="FC3" s="743"/>
      <c r="FD3" s="742" t="str">
        <f>+Indicadores!F20</f>
        <v xml:space="preserve">Nº  de personas de 18 años a mas  con diabetes Mellitus tipo 2 controlados </v>
      </c>
      <c r="FE3" s="743"/>
      <c r="FF3" s="743"/>
      <c r="FG3" s="743"/>
      <c r="FH3" s="743"/>
      <c r="FI3" s="743"/>
      <c r="FJ3" s="742" t="str">
        <f>+Indicadores!F21</f>
        <v>Nº de personas de 18  y mas años con diagnostico de Hipertension Arterial Controlados</v>
      </c>
      <c r="FK3" s="743"/>
      <c r="FL3" s="743"/>
      <c r="FM3" s="743"/>
      <c r="FN3" s="743"/>
      <c r="FO3" s="743"/>
      <c r="FP3" s="742" t="str">
        <f>+Indicadores!F22</f>
        <v>Niñas y niños de 3 a 11 años con alta básica odontológica</v>
      </c>
      <c r="FQ3" s="743"/>
      <c r="FR3" s="743"/>
      <c r="FS3" s="743"/>
      <c r="FT3" s="743"/>
      <c r="FU3" s="743"/>
      <c r="FV3" s="742" t="str">
        <f>+Indicadores!F23</f>
        <v>Tamizaje de agudeza visual en personas de 50 años a mas</v>
      </c>
      <c r="FW3" s="743"/>
      <c r="FX3" s="743"/>
      <c r="FY3" s="743"/>
      <c r="FZ3" s="743"/>
      <c r="GA3" s="743"/>
      <c r="GB3" s="742" t="str">
        <f>+Indicadores!F24</f>
        <v>N° de personas tamizadas por Salud Mental (depresion, ansiedad, consumo de alcohol y psicosis) y/o problemas psicosociales (violencia familiar, maltrato infantil y violencia social) de 3 a 17 años</v>
      </c>
      <c r="GC3" s="743"/>
      <c r="GD3" s="743"/>
      <c r="GE3" s="743"/>
      <c r="GF3" s="743"/>
      <c r="GG3" s="743"/>
      <c r="GH3" s="742" t="str">
        <f>+Indicadores!F25</f>
        <v xml:space="preserve">Número de personas detectadas por problemas psicosociales tienen diagnóstico </v>
      </c>
      <c r="GI3" s="743"/>
      <c r="GJ3" s="743"/>
      <c r="GK3" s="743"/>
      <c r="GL3" s="743"/>
      <c r="GM3" s="743"/>
      <c r="GN3" s="742" t="str">
        <f>+Indicadores!F26</f>
        <v xml:space="preserve">Nº de sintomatico respiratorio bacteriologicamente positivo </v>
      </c>
      <c r="GO3" s="743"/>
      <c r="GP3" s="743"/>
      <c r="GQ3" s="743"/>
      <c r="GR3" s="743"/>
      <c r="GS3" s="743"/>
      <c r="GT3" s="742" t="str">
        <f>+Indicadores!F27</f>
        <v>N° de HSH con tamizaje de VIH x 100</v>
      </c>
      <c r="GU3" s="743"/>
      <c r="GV3" s="743"/>
      <c r="GW3" s="743"/>
      <c r="GX3" s="743"/>
      <c r="GY3" s="743"/>
      <c r="GZ3" s="742" t="str">
        <f>+Indicadores!F28</f>
        <v>N° inspecciones de viviendas en las que se realizó tratamiento focal en el trimestre</v>
      </c>
      <c r="HA3" s="743"/>
      <c r="HB3" s="743"/>
      <c r="HC3" s="743"/>
      <c r="HD3" s="743"/>
      <c r="HE3" s="743"/>
      <c r="HF3" s="742" t="str">
        <f>+Indicadores!F29</f>
        <v>Atendidos por Teleinterconsulta (Consultor y Consultante)</v>
      </c>
      <c r="HG3" s="743"/>
      <c r="HH3" s="743"/>
      <c r="HI3" s="743"/>
      <c r="HJ3" s="743"/>
      <c r="HK3" s="743"/>
      <c r="HL3" s="742" t="str">
        <f>+Indicadores!F30</f>
        <v>Mide el porcentaje la disponibilidad adecuada de Medicamentos Esenciales (ME) mayor o igual a 2 meses incluidos en el Petitorio nacional de Medicamentos Esenciales (PNUME) vigente que gestiona una EE.SS, de acuerdo a los Medicamentos Esenciales que maneja</v>
      </c>
      <c r="HM3" s="743"/>
      <c r="HN3" s="743"/>
      <c r="HO3" s="743"/>
      <c r="HP3" s="743"/>
      <c r="HQ3" s="743"/>
      <c r="HR3" s="742" t="str">
        <f>+Indicadores!F31</f>
        <v>numero de referencias que ciumplen los criterios de prioridad I y II según capacidad resolutiva</v>
      </c>
      <c r="HS3" s="743"/>
      <c r="HT3" s="743"/>
      <c r="HU3" s="743"/>
      <c r="HV3" s="743"/>
      <c r="HW3" s="743"/>
      <c r="HX3" s="742" t="str">
        <f>+Indicadores!F32</f>
        <v>Numero de Poblacion Asegurada</v>
      </c>
      <c r="HY3" s="743"/>
      <c r="HZ3" s="743"/>
      <c r="IA3" s="743"/>
      <c r="IB3" s="743"/>
      <c r="IC3" s="743"/>
      <c r="ID3" s="742" t="str">
        <f>+Indicadores!F33</f>
        <v>Numero de FUAs observadas publicadas en la pagina del SIS (MUNDO IPRESS)</v>
      </c>
      <c r="IE3" s="743"/>
      <c r="IF3" s="743"/>
      <c r="IG3" s="743"/>
      <c r="IH3" s="743"/>
      <c r="II3" s="743"/>
    </row>
    <row r="4" spans="1:243" ht="35.25" customHeight="1">
      <c r="A4" s="277" t="s">
        <v>118</v>
      </c>
      <c r="B4" s="277" t="s">
        <v>423</v>
      </c>
      <c r="C4" s="277" t="s">
        <v>424</v>
      </c>
      <c r="D4" s="747" t="s">
        <v>131</v>
      </c>
      <c r="E4" s="748"/>
      <c r="F4" s="748"/>
      <c r="G4" s="748"/>
      <c r="H4" s="748"/>
      <c r="I4" s="748"/>
      <c r="J4" s="748"/>
      <c r="K4" s="748"/>
      <c r="L4" s="748"/>
      <c r="M4" s="748"/>
      <c r="N4" s="748"/>
      <c r="O4" s="748"/>
      <c r="P4" s="748"/>
      <c r="Q4" s="748"/>
      <c r="R4" s="748"/>
      <c r="S4" s="748"/>
      <c r="T4" s="748"/>
      <c r="U4" s="748"/>
      <c r="V4" s="748"/>
      <c r="W4" s="748"/>
      <c r="X4" s="748"/>
      <c r="Y4" s="748"/>
      <c r="Z4" s="748"/>
      <c r="AA4" s="748"/>
      <c r="AB4" s="748"/>
      <c r="AC4" s="748"/>
      <c r="AD4" s="748"/>
      <c r="AE4" s="748"/>
      <c r="AF4" s="748"/>
      <c r="AG4" s="749"/>
      <c r="AH4" s="750" t="s">
        <v>132</v>
      </c>
      <c r="AI4" s="751"/>
      <c r="AJ4" s="751"/>
      <c r="AK4" s="751"/>
      <c r="AL4" s="751"/>
      <c r="AM4" s="751"/>
      <c r="AN4" s="751"/>
      <c r="AO4" s="751"/>
      <c r="AP4" s="751"/>
      <c r="AQ4" s="751"/>
      <c r="AR4" s="751"/>
      <c r="AS4" s="751"/>
      <c r="AT4" s="751"/>
      <c r="AU4" s="751"/>
      <c r="AV4" s="751"/>
      <c r="AW4" s="751"/>
      <c r="AX4" s="751"/>
      <c r="AY4" s="751"/>
      <c r="AZ4" s="751"/>
      <c r="BA4" s="751"/>
      <c r="BB4" s="751"/>
      <c r="BC4" s="751"/>
      <c r="BD4" s="751"/>
      <c r="BE4" s="751"/>
      <c r="BF4" s="751"/>
      <c r="BG4" s="751"/>
      <c r="BH4" s="751"/>
      <c r="BI4" s="751"/>
      <c r="BJ4" s="751"/>
      <c r="BK4" s="752"/>
      <c r="BL4" s="278" t="s">
        <v>477</v>
      </c>
      <c r="BM4" s="278" t="s">
        <v>478</v>
      </c>
      <c r="BN4" s="278" t="s">
        <v>479</v>
      </c>
      <c r="BO4" s="278" t="s">
        <v>480</v>
      </c>
      <c r="BP4" s="278" t="s">
        <v>481</v>
      </c>
      <c r="BQ4" s="278" t="s">
        <v>482</v>
      </c>
      <c r="BR4" s="278" t="s">
        <v>477</v>
      </c>
      <c r="BS4" s="278" t="s">
        <v>478</v>
      </c>
      <c r="BT4" s="278" t="s">
        <v>479</v>
      </c>
      <c r="BU4" s="278" t="s">
        <v>480</v>
      </c>
      <c r="BV4" s="278" t="s">
        <v>481</v>
      </c>
      <c r="BW4" s="278" t="s">
        <v>482</v>
      </c>
      <c r="BX4" s="278" t="s">
        <v>477</v>
      </c>
      <c r="BY4" s="278" t="s">
        <v>478</v>
      </c>
      <c r="BZ4" s="278" t="s">
        <v>479</v>
      </c>
      <c r="CA4" s="278" t="s">
        <v>480</v>
      </c>
      <c r="CB4" s="278" t="s">
        <v>481</v>
      </c>
      <c r="CC4" s="278" t="s">
        <v>482</v>
      </c>
      <c r="CD4" s="278" t="s">
        <v>477</v>
      </c>
      <c r="CE4" s="278" t="s">
        <v>478</v>
      </c>
      <c r="CF4" s="278" t="s">
        <v>479</v>
      </c>
      <c r="CG4" s="278" t="s">
        <v>480</v>
      </c>
      <c r="CH4" s="278" t="s">
        <v>481</v>
      </c>
      <c r="CI4" s="278" t="s">
        <v>482</v>
      </c>
      <c r="CJ4" s="278" t="s">
        <v>477</v>
      </c>
      <c r="CK4" s="278" t="s">
        <v>478</v>
      </c>
      <c r="CL4" s="278" t="s">
        <v>479</v>
      </c>
      <c r="CM4" s="278" t="s">
        <v>480</v>
      </c>
      <c r="CN4" s="278" t="s">
        <v>481</v>
      </c>
      <c r="CO4" s="278" t="s">
        <v>482</v>
      </c>
      <c r="CP4" s="278" t="s">
        <v>477</v>
      </c>
      <c r="CQ4" s="278" t="s">
        <v>478</v>
      </c>
      <c r="CR4" s="278" t="s">
        <v>479</v>
      </c>
      <c r="CS4" s="278" t="s">
        <v>480</v>
      </c>
      <c r="CT4" s="278" t="s">
        <v>481</v>
      </c>
      <c r="CU4" s="278" t="s">
        <v>482</v>
      </c>
      <c r="CV4" s="278" t="s">
        <v>477</v>
      </c>
      <c r="CW4" s="278" t="s">
        <v>478</v>
      </c>
      <c r="CX4" s="278" t="s">
        <v>479</v>
      </c>
      <c r="CY4" s="278" t="s">
        <v>480</v>
      </c>
      <c r="CZ4" s="278" t="s">
        <v>481</v>
      </c>
      <c r="DA4" s="278" t="s">
        <v>482</v>
      </c>
      <c r="DB4" s="278" t="s">
        <v>477</v>
      </c>
      <c r="DC4" s="278" t="s">
        <v>478</v>
      </c>
      <c r="DD4" s="278" t="s">
        <v>479</v>
      </c>
      <c r="DE4" s="278" t="s">
        <v>480</v>
      </c>
      <c r="DF4" s="278" t="s">
        <v>481</v>
      </c>
      <c r="DG4" s="278" t="s">
        <v>482</v>
      </c>
      <c r="DH4" s="278" t="s">
        <v>477</v>
      </c>
      <c r="DI4" s="278" t="s">
        <v>478</v>
      </c>
      <c r="DJ4" s="278" t="s">
        <v>479</v>
      </c>
      <c r="DK4" s="278" t="s">
        <v>480</v>
      </c>
      <c r="DL4" s="278" t="s">
        <v>481</v>
      </c>
      <c r="DM4" s="278" t="s">
        <v>482</v>
      </c>
      <c r="DN4" s="278" t="s">
        <v>477</v>
      </c>
      <c r="DO4" s="278" t="s">
        <v>478</v>
      </c>
      <c r="DP4" s="278" t="s">
        <v>479</v>
      </c>
      <c r="DQ4" s="278" t="s">
        <v>480</v>
      </c>
      <c r="DR4" s="278" t="s">
        <v>481</v>
      </c>
      <c r="DS4" s="278" t="s">
        <v>482</v>
      </c>
      <c r="DT4" s="278" t="s">
        <v>477</v>
      </c>
      <c r="DU4" s="278" t="s">
        <v>478</v>
      </c>
      <c r="DV4" s="278" t="s">
        <v>479</v>
      </c>
      <c r="DW4" s="278" t="s">
        <v>480</v>
      </c>
      <c r="DX4" s="278" t="s">
        <v>481</v>
      </c>
      <c r="DY4" s="278" t="s">
        <v>482</v>
      </c>
      <c r="DZ4" s="278" t="s">
        <v>477</v>
      </c>
      <c r="EA4" s="278" t="s">
        <v>478</v>
      </c>
      <c r="EB4" s="278" t="s">
        <v>479</v>
      </c>
      <c r="EC4" s="278" t="s">
        <v>480</v>
      </c>
      <c r="ED4" s="278" t="s">
        <v>481</v>
      </c>
      <c r="EE4" s="278" t="s">
        <v>482</v>
      </c>
      <c r="EF4" s="278" t="s">
        <v>477</v>
      </c>
      <c r="EG4" s="278" t="s">
        <v>478</v>
      </c>
      <c r="EH4" s="278" t="s">
        <v>479</v>
      </c>
      <c r="EI4" s="278" t="s">
        <v>480</v>
      </c>
      <c r="EJ4" s="278" t="s">
        <v>481</v>
      </c>
      <c r="EK4" s="278" t="s">
        <v>482</v>
      </c>
      <c r="EL4" s="278" t="s">
        <v>477</v>
      </c>
      <c r="EM4" s="278" t="s">
        <v>478</v>
      </c>
      <c r="EN4" s="278" t="s">
        <v>479</v>
      </c>
      <c r="EO4" s="278" t="s">
        <v>480</v>
      </c>
      <c r="EP4" s="278" t="s">
        <v>481</v>
      </c>
      <c r="EQ4" s="278" t="s">
        <v>482</v>
      </c>
      <c r="ER4" s="278" t="s">
        <v>477</v>
      </c>
      <c r="ES4" s="278" t="s">
        <v>478</v>
      </c>
      <c r="ET4" s="278" t="s">
        <v>479</v>
      </c>
      <c r="EU4" s="278" t="s">
        <v>480</v>
      </c>
      <c r="EV4" s="278" t="s">
        <v>481</v>
      </c>
      <c r="EW4" s="278" t="s">
        <v>482</v>
      </c>
      <c r="EX4" s="278" t="s">
        <v>477</v>
      </c>
      <c r="EY4" s="278" t="s">
        <v>478</v>
      </c>
      <c r="EZ4" s="278" t="s">
        <v>479</v>
      </c>
      <c r="FA4" s="278" t="s">
        <v>480</v>
      </c>
      <c r="FB4" s="278" t="s">
        <v>481</v>
      </c>
      <c r="FC4" s="278" t="s">
        <v>482</v>
      </c>
      <c r="FD4" s="278" t="s">
        <v>477</v>
      </c>
      <c r="FE4" s="278" t="s">
        <v>478</v>
      </c>
      <c r="FF4" s="278" t="s">
        <v>479</v>
      </c>
      <c r="FG4" s="278" t="s">
        <v>480</v>
      </c>
      <c r="FH4" s="278" t="s">
        <v>481</v>
      </c>
      <c r="FI4" s="278" t="s">
        <v>482</v>
      </c>
      <c r="FJ4" s="278" t="s">
        <v>477</v>
      </c>
      <c r="FK4" s="278" t="s">
        <v>478</v>
      </c>
      <c r="FL4" s="278" t="s">
        <v>479</v>
      </c>
      <c r="FM4" s="278" t="s">
        <v>480</v>
      </c>
      <c r="FN4" s="278" t="s">
        <v>481</v>
      </c>
      <c r="FO4" s="278" t="s">
        <v>482</v>
      </c>
      <c r="FP4" s="278" t="s">
        <v>477</v>
      </c>
      <c r="FQ4" s="278" t="s">
        <v>478</v>
      </c>
      <c r="FR4" s="278" t="s">
        <v>479</v>
      </c>
      <c r="FS4" s="278" t="s">
        <v>480</v>
      </c>
      <c r="FT4" s="278" t="s">
        <v>481</v>
      </c>
      <c r="FU4" s="278" t="s">
        <v>482</v>
      </c>
      <c r="FV4" s="278" t="s">
        <v>477</v>
      </c>
      <c r="FW4" s="278" t="s">
        <v>478</v>
      </c>
      <c r="FX4" s="278" t="s">
        <v>479</v>
      </c>
      <c r="FY4" s="278" t="s">
        <v>480</v>
      </c>
      <c r="FZ4" s="278" t="s">
        <v>481</v>
      </c>
      <c r="GA4" s="278" t="s">
        <v>482</v>
      </c>
      <c r="GB4" s="278" t="s">
        <v>477</v>
      </c>
      <c r="GC4" s="278" t="s">
        <v>478</v>
      </c>
      <c r="GD4" s="278" t="s">
        <v>479</v>
      </c>
      <c r="GE4" s="278" t="s">
        <v>480</v>
      </c>
      <c r="GF4" s="278" t="s">
        <v>481</v>
      </c>
      <c r="GG4" s="278" t="s">
        <v>482</v>
      </c>
      <c r="GH4" s="278" t="s">
        <v>477</v>
      </c>
      <c r="GI4" s="278" t="s">
        <v>478</v>
      </c>
      <c r="GJ4" s="278" t="s">
        <v>479</v>
      </c>
      <c r="GK4" s="278" t="s">
        <v>480</v>
      </c>
      <c r="GL4" s="278" t="s">
        <v>481</v>
      </c>
      <c r="GM4" s="278" t="s">
        <v>482</v>
      </c>
      <c r="GN4" s="278" t="s">
        <v>477</v>
      </c>
      <c r="GO4" s="278" t="s">
        <v>478</v>
      </c>
      <c r="GP4" s="278" t="s">
        <v>479</v>
      </c>
      <c r="GQ4" s="278" t="s">
        <v>480</v>
      </c>
      <c r="GR4" s="278" t="s">
        <v>481</v>
      </c>
      <c r="GS4" s="278" t="s">
        <v>482</v>
      </c>
      <c r="GT4" s="278" t="s">
        <v>477</v>
      </c>
      <c r="GU4" s="278" t="s">
        <v>478</v>
      </c>
      <c r="GV4" s="278" t="s">
        <v>479</v>
      </c>
      <c r="GW4" s="278" t="s">
        <v>480</v>
      </c>
      <c r="GX4" s="278" t="s">
        <v>481</v>
      </c>
      <c r="GY4" s="278" t="s">
        <v>482</v>
      </c>
      <c r="GZ4" s="278" t="s">
        <v>477</v>
      </c>
      <c r="HA4" s="278" t="s">
        <v>478</v>
      </c>
      <c r="HB4" s="278" t="s">
        <v>479</v>
      </c>
      <c r="HC4" s="278" t="s">
        <v>480</v>
      </c>
      <c r="HD4" s="278" t="s">
        <v>481</v>
      </c>
      <c r="HE4" s="278" t="s">
        <v>482</v>
      </c>
      <c r="HF4" s="278" t="s">
        <v>477</v>
      </c>
      <c r="HG4" s="278" t="s">
        <v>478</v>
      </c>
      <c r="HH4" s="278" t="s">
        <v>479</v>
      </c>
      <c r="HI4" s="278" t="s">
        <v>480</v>
      </c>
      <c r="HJ4" s="278" t="s">
        <v>481</v>
      </c>
      <c r="HK4" s="278" t="s">
        <v>482</v>
      </c>
      <c r="HL4" s="278" t="s">
        <v>477</v>
      </c>
      <c r="HM4" s="278" t="s">
        <v>478</v>
      </c>
      <c r="HN4" s="278" t="s">
        <v>479</v>
      </c>
      <c r="HO4" s="278" t="s">
        <v>480</v>
      </c>
      <c r="HP4" s="278" t="s">
        <v>481</v>
      </c>
      <c r="HQ4" s="278" t="s">
        <v>482</v>
      </c>
      <c r="HR4" s="278" t="s">
        <v>477</v>
      </c>
      <c r="HS4" s="278" t="s">
        <v>478</v>
      </c>
      <c r="HT4" s="278" t="s">
        <v>479</v>
      </c>
      <c r="HU4" s="278" t="s">
        <v>480</v>
      </c>
      <c r="HV4" s="278" t="s">
        <v>481</v>
      </c>
      <c r="HW4" s="278" t="s">
        <v>482</v>
      </c>
      <c r="HX4" s="278" t="s">
        <v>477</v>
      </c>
      <c r="HY4" s="278" t="s">
        <v>478</v>
      </c>
      <c r="HZ4" s="278" t="s">
        <v>479</v>
      </c>
      <c r="IA4" s="278" t="s">
        <v>480</v>
      </c>
      <c r="IB4" s="278" t="s">
        <v>481</v>
      </c>
      <c r="IC4" s="278" t="s">
        <v>482</v>
      </c>
      <c r="ID4" s="278" t="s">
        <v>477</v>
      </c>
      <c r="IE4" s="278" t="s">
        <v>478</v>
      </c>
      <c r="IF4" s="278" t="s">
        <v>479</v>
      </c>
      <c r="IG4" s="278" t="s">
        <v>480</v>
      </c>
      <c r="IH4" s="278" t="s">
        <v>481</v>
      </c>
      <c r="II4" s="278" t="s">
        <v>482</v>
      </c>
    </row>
    <row r="5" spans="1:243" ht="15">
      <c r="A5" s="276"/>
      <c r="B5" s="578" t="s">
        <v>267</v>
      </c>
      <c r="C5" s="579" t="s">
        <v>267</v>
      </c>
      <c r="D5" s="580">
        <f>+SUM(D6:D13)</f>
        <v>0</v>
      </c>
      <c r="E5" s="580">
        <f t="shared" ref="E5:BK5" si="0">+SUM(E6:E13)</f>
        <v>0</v>
      </c>
      <c r="F5" s="580">
        <f t="shared" si="0"/>
        <v>0</v>
      </c>
      <c r="G5" s="580">
        <f t="shared" si="0"/>
        <v>345</v>
      </c>
      <c r="H5" s="580">
        <f t="shared" si="0"/>
        <v>231</v>
      </c>
      <c r="I5" s="580">
        <f t="shared" si="0"/>
        <v>1436</v>
      </c>
      <c r="J5" s="580">
        <f t="shared" si="0"/>
        <v>0</v>
      </c>
      <c r="K5" s="580">
        <f t="shared" si="0"/>
        <v>0</v>
      </c>
      <c r="L5" s="580">
        <f t="shared" si="0"/>
        <v>127</v>
      </c>
      <c r="M5" s="580">
        <f t="shared" si="0"/>
        <v>407</v>
      </c>
      <c r="N5" s="580">
        <f t="shared" si="0"/>
        <v>157</v>
      </c>
      <c r="O5" s="580">
        <f t="shared" si="0"/>
        <v>377</v>
      </c>
      <c r="P5" s="580">
        <f t="shared" si="0"/>
        <v>133</v>
      </c>
      <c r="Q5" s="580">
        <f t="shared" si="0"/>
        <v>0</v>
      </c>
      <c r="R5" s="580">
        <f t="shared" si="0"/>
        <v>0</v>
      </c>
      <c r="S5" s="580">
        <f t="shared" si="0"/>
        <v>0</v>
      </c>
      <c r="T5" s="580">
        <f t="shared" si="0"/>
        <v>0</v>
      </c>
      <c r="U5" s="580">
        <f t="shared" si="0"/>
        <v>0</v>
      </c>
      <c r="V5" s="580">
        <f t="shared" si="0"/>
        <v>0</v>
      </c>
      <c r="W5" s="580">
        <f t="shared" si="0"/>
        <v>0</v>
      </c>
      <c r="X5" s="580">
        <f t="shared" si="0"/>
        <v>0</v>
      </c>
      <c r="Y5" s="580">
        <f t="shared" si="0"/>
        <v>0</v>
      </c>
      <c r="Z5" s="580">
        <f t="shared" si="0"/>
        <v>0</v>
      </c>
      <c r="AA5" s="580">
        <f t="shared" si="0"/>
        <v>0</v>
      </c>
      <c r="AB5" s="580">
        <f t="shared" si="0"/>
        <v>0</v>
      </c>
      <c r="AC5" s="580">
        <f t="shared" si="0"/>
        <v>0</v>
      </c>
      <c r="AD5" s="580">
        <f t="shared" si="0"/>
        <v>0</v>
      </c>
      <c r="AE5" s="580">
        <f t="shared" si="0"/>
        <v>0</v>
      </c>
      <c r="AF5" s="580">
        <f t="shared" si="0"/>
        <v>0</v>
      </c>
      <c r="AG5" s="580">
        <f t="shared" si="0"/>
        <v>0</v>
      </c>
      <c r="AH5" s="580">
        <f t="shared" si="0"/>
        <v>0</v>
      </c>
      <c r="AI5" s="580">
        <f t="shared" si="0"/>
        <v>0</v>
      </c>
      <c r="AJ5" s="580">
        <f t="shared" si="0"/>
        <v>0</v>
      </c>
      <c r="AK5" s="580">
        <f t="shared" si="0"/>
        <v>327</v>
      </c>
      <c r="AL5" s="580">
        <f t="shared" si="0"/>
        <v>238</v>
      </c>
      <c r="AM5" s="580">
        <f t="shared" si="0"/>
        <v>1386</v>
      </c>
      <c r="AN5" s="580">
        <f t="shared" si="0"/>
        <v>0</v>
      </c>
      <c r="AO5" s="580">
        <f t="shared" si="0"/>
        <v>0</v>
      </c>
      <c r="AP5" s="580">
        <f t="shared" si="0"/>
        <v>113</v>
      </c>
      <c r="AQ5" s="580">
        <f t="shared" si="0"/>
        <v>229</v>
      </c>
      <c r="AR5" s="580">
        <f t="shared" si="0"/>
        <v>18</v>
      </c>
      <c r="AS5" s="580">
        <f t="shared" si="0"/>
        <v>308</v>
      </c>
      <c r="AT5" s="580">
        <f t="shared" si="0"/>
        <v>110</v>
      </c>
      <c r="AU5" s="580">
        <f t="shared" si="0"/>
        <v>0</v>
      </c>
      <c r="AV5" s="580">
        <f t="shared" si="0"/>
        <v>0</v>
      </c>
      <c r="AW5" s="580">
        <f t="shared" si="0"/>
        <v>0</v>
      </c>
      <c r="AX5" s="580">
        <f t="shared" si="0"/>
        <v>0</v>
      </c>
      <c r="AY5" s="580">
        <f t="shared" si="0"/>
        <v>0</v>
      </c>
      <c r="AZ5" s="580">
        <f t="shared" si="0"/>
        <v>0</v>
      </c>
      <c r="BA5" s="580">
        <f t="shared" si="0"/>
        <v>0</v>
      </c>
      <c r="BB5" s="580">
        <f t="shared" si="0"/>
        <v>0</v>
      </c>
      <c r="BC5" s="580">
        <f t="shared" si="0"/>
        <v>0</v>
      </c>
      <c r="BD5" s="580">
        <f t="shared" si="0"/>
        <v>0</v>
      </c>
      <c r="BE5" s="580">
        <f t="shared" si="0"/>
        <v>0</v>
      </c>
      <c r="BF5" s="580">
        <f t="shared" si="0"/>
        <v>0</v>
      </c>
      <c r="BG5" s="580">
        <f t="shared" si="0"/>
        <v>0</v>
      </c>
      <c r="BH5" s="580">
        <f t="shared" si="0"/>
        <v>0</v>
      </c>
      <c r="BI5" s="580">
        <f t="shared" si="0"/>
        <v>0</v>
      </c>
      <c r="BJ5" s="580">
        <f t="shared" si="0"/>
        <v>0</v>
      </c>
      <c r="BK5" s="580">
        <f t="shared" si="0"/>
        <v>0</v>
      </c>
      <c r="BL5" s="580">
        <f t="shared" ref="BL5:CC5" si="1">+SUM(BL6:BL13)</f>
        <v>0</v>
      </c>
      <c r="BM5" s="580">
        <f t="shared" si="1"/>
        <v>0</v>
      </c>
      <c r="BN5" s="580">
        <f t="shared" si="1"/>
        <v>0</v>
      </c>
      <c r="BO5" s="580">
        <f t="shared" si="1"/>
        <v>0</v>
      </c>
      <c r="BP5" s="580">
        <f t="shared" si="1"/>
        <v>0</v>
      </c>
      <c r="BQ5" s="580">
        <f t="shared" si="1"/>
        <v>0</v>
      </c>
      <c r="BR5" s="580">
        <f t="shared" si="1"/>
        <v>0</v>
      </c>
      <c r="BS5" s="580">
        <f t="shared" si="1"/>
        <v>0</v>
      </c>
      <c r="BT5" s="580">
        <f t="shared" si="1"/>
        <v>0</v>
      </c>
      <c r="BU5" s="580">
        <f t="shared" si="1"/>
        <v>0</v>
      </c>
      <c r="BV5" s="580">
        <f t="shared" si="1"/>
        <v>0</v>
      </c>
      <c r="BW5" s="580">
        <f t="shared" si="1"/>
        <v>0</v>
      </c>
      <c r="BX5" s="580">
        <f t="shared" si="1"/>
        <v>0</v>
      </c>
      <c r="BY5" s="580">
        <f t="shared" si="1"/>
        <v>0</v>
      </c>
      <c r="BZ5" s="580">
        <f t="shared" si="1"/>
        <v>0</v>
      </c>
      <c r="CA5" s="580">
        <f t="shared" si="1"/>
        <v>0</v>
      </c>
      <c r="CB5" s="580">
        <f t="shared" si="1"/>
        <v>0</v>
      </c>
      <c r="CC5" s="580">
        <f t="shared" si="1"/>
        <v>0</v>
      </c>
      <c r="CD5" s="580">
        <f>+SUM(CD6:CD13)</f>
        <v>123</v>
      </c>
      <c r="CE5" s="580">
        <f t="shared" ref="CE5:CH5" si="2">+SUM(CE6:CE13)</f>
        <v>95</v>
      </c>
      <c r="CF5" s="580">
        <f t="shared" si="2"/>
        <v>127</v>
      </c>
      <c r="CG5" s="580">
        <f t="shared" si="2"/>
        <v>106</v>
      </c>
      <c r="CH5" s="580">
        <f t="shared" si="2"/>
        <v>95</v>
      </c>
      <c r="CI5" s="580">
        <f>+SUM(CI6:CI13)</f>
        <v>126</v>
      </c>
      <c r="CJ5" s="580">
        <f t="shared" ref="CJ5:EU5" si="3">+SUM(CJ6:CJ13)</f>
        <v>75</v>
      </c>
      <c r="CK5" s="580">
        <f t="shared" si="3"/>
        <v>67</v>
      </c>
      <c r="CL5" s="580">
        <f t="shared" si="3"/>
        <v>89</v>
      </c>
      <c r="CM5" s="580">
        <f t="shared" si="3"/>
        <v>81</v>
      </c>
      <c r="CN5" s="580">
        <f t="shared" si="3"/>
        <v>86</v>
      </c>
      <c r="CO5" s="580">
        <f t="shared" si="3"/>
        <v>71</v>
      </c>
      <c r="CP5" s="580">
        <f t="shared" si="3"/>
        <v>487</v>
      </c>
      <c r="CQ5" s="580">
        <f t="shared" si="3"/>
        <v>512</v>
      </c>
      <c r="CR5" s="580">
        <f t="shared" si="3"/>
        <v>437</v>
      </c>
      <c r="CS5" s="580">
        <f t="shared" si="3"/>
        <v>469</v>
      </c>
      <c r="CT5" s="580">
        <f t="shared" si="3"/>
        <v>452</v>
      </c>
      <c r="CU5" s="580">
        <f t="shared" si="3"/>
        <v>465</v>
      </c>
      <c r="CV5" s="580">
        <f t="shared" si="3"/>
        <v>0</v>
      </c>
      <c r="CW5" s="580">
        <f t="shared" si="3"/>
        <v>0</v>
      </c>
      <c r="CX5" s="580">
        <f t="shared" si="3"/>
        <v>0</v>
      </c>
      <c r="CY5" s="580">
        <f t="shared" si="3"/>
        <v>0</v>
      </c>
      <c r="CZ5" s="580">
        <f t="shared" si="3"/>
        <v>0</v>
      </c>
      <c r="DA5" s="580">
        <f t="shared" si="3"/>
        <v>0</v>
      </c>
      <c r="DB5" s="580">
        <f t="shared" si="3"/>
        <v>0</v>
      </c>
      <c r="DC5" s="580">
        <f t="shared" si="3"/>
        <v>0</v>
      </c>
      <c r="DD5" s="580">
        <f t="shared" si="3"/>
        <v>0</v>
      </c>
      <c r="DE5" s="580">
        <f t="shared" si="3"/>
        <v>0</v>
      </c>
      <c r="DF5" s="580">
        <f t="shared" si="3"/>
        <v>0</v>
      </c>
      <c r="DG5" s="580">
        <f t="shared" si="3"/>
        <v>0</v>
      </c>
      <c r="DH5" s="580">
        <f t="shared" si="3"/>
        <v>49</v>
      </c>
      <c r="DI5" s="580">
        <f t="shared" si="3"/>
        <v>28</v>
      </c>
      <c r="DJ5" s="580">
        <f t="shared" si="3"/>
        <v>50</v>
      </c>
      <c r="DK5" s="580">
        <f t="shared" si="3"/>
        <v>35</v>
      </c>
      <c r="DL5" s="580">
        <f t="shared" si="3"/>
        <v>40</v>
      </c>
      <c r="DM5" s="580">
        <f t="shared" si="3"/>
        <v>38</v>
      </c>
      <c r="DN5" s="580">
        <f t="shared" si="3"/>
        <v>143</v>
      </c>
      <c r="DO5" s="580">
        <f t="shared" si="3"/>
        <v>119</v>
      </c>
      <c r="DP5" s="580">
        <f t="shared" si="3"/>
        <v>145</v>
      </c>
      <c r="DQ5" s="580">
        <f t="shared" si="3"/>
        <v>116</v>
      </c>
      <c r="DR5" s="580">
        <f t="shared" si="3"/>
        <v>104</v>
      </c>
      <c r="DS5" s="580">
        <f t="shared" si="3"/>
        <v>9</v>
      </c>
      <c r="DT5" s="580">
        <f t="shared" si="3"/>
        <v>119</v>
      </c>
      <c r="DU5" s="580">
        <f t="shared" si="3"/>
        <v>27</v>
      </c>
      <c r="DV5" s="580">
        <f t="shared" si="3"/>
        <v>11</v>
      </c>
      <c r="DW5" s="580">
        <f t="shared" si="3"/>
        <v>12</v>
      </c>
      <c r="DX5" s="580">
        <f t="shared" si="3"/>
        <v>3</v>
      </c>
      <c r="DY5" s="580">
        <f t="shared" si="3"/>
        <v>3</v>
      </c>
      <c r="DZ5" s="580">
        <f t="shared" si="3"/>
        <v>108</v>
      </c>
      <c r="EA5" s="580">
        <f t="shared" si="3"/>
        <v>124</v>
      </c>
      <c r="EB5" s="580">
        <f t="shared" si="3"/>
        <v>145</v>
      </c>
      <c r="EC5" s="580">
        <f t="shared" si="3"/>
        <v>96</v>
      </c>
      <c r="ED5" s="580">
        <f t="shared" si="3"/>
        <v>101</v>
      </c>
      <c r="EE5" s="580">
        <f t="shared" si="3"/>
        <v>111</v>
      </c>
      <c r="EF5" s="580">
        <f t="shared" si="3"/>
        <v>51</v>
      </c>
      <c r="EG5" s="580">
        <f t="shared" si="3"/>
        <v>43</v>
      </c>
      <c r="EH5" s="580">
        <f t="shared" si="3"/>
        <v>39</v>
      </c>
      <c r="EI5" s="580">
        <f t="shared" si="3"/>
        <v>37</v>
      </c>
      <c r="EJ5" s="580">
        <f t="shared" si="3"/>
        <v>44</v>
      </c>
      <c r="EK5" s="580">
        <f t="shared" si="3"/>
        <v>29</v>
      </c>
      <c r="EL5" s="580">
        <f t="shared" si="3"/>
        <v>0</v>
      </c>
      <c r="EM5" s="580">
        <f t="shared" si="3"/>
        <v>0</v>
      </c>
      <c r="EN5" s="580">
        <f t="shared" si="3"/>
        <v>0</v>
      </c>
      <c r="EO5" s="580">
        <f t="shared" si="3"/>
        <v>0</v>
      </c>
      <c r="EP5" s="580">
        <f t="shared" si="3"/>
        <v>0</v>
      </c>
      <c r="EQ5" s="580">
        <f t="shared" si="3"/>
        <v>0</v>
      </c>
      <c r="ER5" s="580">
        <f t="shared" si="3"/>
        <v>0</v>
      </c>
      <c r="ES5" s="580">
        <f t="shared" si="3"/>
        <v>0</v>
      </c>
      <c r="ET5" s="580">
        <f t="shared" si="3"/>
        <v>0</v>
      </c>
      <c r="EU5" s="580">
        <f t="shared" si="3"/>
        <v>0</v>
      </c>
      <c r="EV5" s="580">
        <f t="shared" ref="EV5:HG5" si="4">+SUM(EV6:EV13)</f>
        <v>0</v>
      </c>
      <c r="EW5" s="580">
        <f t="shared" si="4"/>
        <v>0</v>
      </c>
      <c r="EX5" s="580">
        <f t="shared" si="4"/>
        <v>0</v>
      </c>
      <c r="EY5" s="580">
        <f t="shared" si="4"/>
        <v>0</v>
      </c>
      <c r="EZ5" s="580">
        <f t="shared" si="4"/>
        <v>0</v>
      </c>
      <c r="FA5" s="580">
        <f t="shared" si="4"/>
        <v>0</v>
      </c>
      <c r="FB5" s="580">
        <f t="shared" si="4"/>
        <v>0</v>
      </c>
      <c r="FC5" s="580">
        <f t="shared" si="4"/>
        <v>0</v>
      </c>
      <c r="FD5" s="580">
        <f t="shared" si="4"/>
        <v>0</v>
      </c>
      <c r="FE5" s="580">
        <f t="shared" si="4"/>
        <v>0</v>
      </c>
      <c r="FF5" s="580">
        <f t="shared" si="4"/>
        <v>0</v>
      </c>
      <c r="FG5" s="580">
        <f t="shared" si="4"/>
        <v>0</v>
      </c>
      <c r="FH5" s="580">
        <f t="shared" si="4"/>
        <v>0</v>
      </c>
      <c r="FI5" s="580">
        <f t="shared" si="4"/>
        <v>0</v>
      </c>
      <c r="FJ5" s="580">
        <f t="shared" si="4"/>
        <v>0</v>
      </c>
      <c r="FK5" s="580">
        <f t="shared" si="4"/>
        <v>0</v>
      </c>
      <c r="FL5" s="580">
        <f t="shared" si="4"/>
        <v>0</v>
      </c>
      <c r="FM5" s="580">
        <f t="shared" si="4"/>
        <v>0</v>
      </c>
      <c r="FN5" s="580">
        <f t="shared" si="4"/>
        <v>0</v>
      </c>
      <c r="FO5" s="580">
        <f t="shared" si="4"/>
        <v>0</v>
      </c>
      <c r="FP5" s="580">
        <f t="shared" si="4"/>
        <v>0</v>
      </c>
      <c r="FQ5" s="580">
        <f t="shared" si="4"/>
        <v>0</v>
      </c>
      <c r="FR5" s="580">
        <f t="shared" si="4"/>
        <v>0</v>
      </c>
      <c r="FS5" s="580">
        <f t="shared" si="4"/>
        <v>0</v>
      </c>
      <c r="FT5" s="580">
        <f t="shared" si="4"/>
        <v>0</v>
      </c>
      <c r="FU5" s="580">
        <f t="shared" si="4"/>
        <v>0</v>
      </c>
      <c r="FV5" s="580">
        <f t="shared" si="4"/>
        <v>0</v>
      </c>
      <c r="FW5" s="580">
        <f t="shared" si="4"/>
        <v>0</v>
      </c>
      <c r="FX5" s="580">
        <f t="shared" si="4"/>
        <v>0</v>
      </c>
      <c r="FY5" s="580">
        <f t="shared" si="4"/>
        <v>0</v>
      </c>
      <c r="FZ5" s="580">
        <f t="shared" si="4"/>
        <v>0</v>
      </c>
      <c r="GA5" s="580">
        <f t="shared" si="4"/>
        <v>0</v>
      </c>
      <c r="GB5" s="580">
        <f t="shared" si="4"/>
        <v>0</v>
      </c>
      <c r="GC5" s="580">
        <f t="shared" si="4"/>
        <v>0</v>
      </c>
      <c r="GD5" s="580">
        <f t="shared" si="4"/>
        <v>0</v>
      </c>
      <c r="GE5" s="580">
        <f t="shared" si="4"/>
        <v>0</v>
      </c>
      <c r="GF5" s="580">
        <f t="shared" si="4"/>
        <v>0</v>
      </c>
      <c r="GG5" s="580">
        <f t="shared" si="4"/>
        <v>0</v>
      </c>
      <c r="GH5" s="580">
        <f t="shared" si="4"/>
        <v>0</v>
      </c>
      <c r="GI5" s="580">
        <f t="shared" si="4"/>
        <v>0</v>
      </c>
      <c r="GJ5" s="580">
        <f t="shared" si="4"/>
        <v>0</v>
      </c>
      <c r="GK5" s="580">
        <f t="shared" si="4"/>
        <v>0</v>
      </c>
      <c r="GL5" s="580">
        <f t="shared" si="4"/>
        <v>0</v>
      </c>
      <c r="GM5" s="580">
        <f t="shared" si="4"/>
        <v>0</v>
      </c>
      <c r="GN5" s="580">
        <f t="shared" si="4"/>
        <v>0</v>
      </c>
      <c r="GO5" s="580">
        <f t="shared" si="4"/>
        <v>0</v>
      </c>
      <c r="GP5" s="580">
        <f t="shared" si="4"/>
        <v>0</v>
      </c>
      <c r="GQ5" s="580">
        <f t="shared" si="4"/>
        <v>0</v>
      </c>
      <c r="GR5" s="580">
        <f t="shared" si="4"/>
        <v>0</v>
      </c>
      <c r="GS5" s="580">
        <f t="shared" si="4"/>
        <v>0</v>
      </c>
      <c r="GT5" s="580">
        <f t="shared" si="4"/>
        <v>0</v>
      </c>
      <c r="GU5" s="580">
        <f t="shared" si="4"/>
        <v>0</v>
      </c>
      <c r="GV5" s="580">
        <f t="shared" si="4"/>
        <v>0</v>
      </c>
      <c r="GW5" s="580">
        <f t="shared" si="4"/>
        <v>0</v>
      </c>
      <c r="GX5" s="580">
        <f t="shared" si="4"/>
        <v>0</v>
      </c>
      <c r="GY5" s="580">
        <f t="shared" si="4"/>
        <v>0</v>
      </c>
      <c r="GZ5" s="580">
        <f t="shared" si="4"/>
        <v>0</v>
      </c>
      <c r="HA5" s="580">
        <f t="shared" si="4"/>
        <v>0</v>
      </c>
      <c r="HB5" s="580">
        <f t="shared" si="4"/>
        <v>0</v>
      </c>
      <c r="HC5" s="580">
        <f t="shared" si="4"/>
        <v>0</v>
      </c>
      <c r="HD5" s="580">
        <f t="shared" si="4"/>
        <v>0</v>
      </c>
      <c r="HE5" s="580">
        <f t="shared" si="4"/>
        <v>0</v>
      </c>
      <c r="HF5" s="580">
        <f t="shared" si="4"/>
        <v>0</v>
      </c>
      <c r="HG5" s="580">
        <f t="shared" si="4"/>
        <v>0</v>
      </c>
      <c r="HH5" s="580">
        <f t="shared" ref="HH5:II5" si="5">+SUM(HH6:HH13)</f>
        <v>0</v>
      </c>
      <c r="HI5" s="580">
        <f t="shared" si="5"/>
        <v>0</v>
      </c>
      <c r="HJ5" s="580">
        <f t="shared" si="5"/>
        <v>0</v>
      </c>
      <c r="HK5" s="580">
        <f t="shared" si="5"/>
        <v>0</v>
      </c>
      <c r="HL5" s="580">
        <f t="shared" si="5"/>
        <v>0</v>
      </c>
      <c r="HM5" s="580">
        <f t="shared" si="5"/>
        <v>0</v>
      </c>
      <c r="HN5" s="580">
        <f t="shared" si="5"/>
        <v>0</v>
      </c>
      <c r="HO5" s="580">
        <f t="shared" si="5"/>
        <v>0</v>
      </c>
      <c r="HP5" s="580">
        <f t="shared" si="5"/>
        <v>0</v>
      </c>
      <c r="HQ5" s="580">
        <f t="shared" si="5"/>
        <v>0</v>
      </c>
      <c r="HR5" s="580">
        <f t="shared" si="5"/>
        <v>0</v>
      </c>
      <c r="HS5" s="580">
        <f t="shared" si="5"/>
        <v>0</v>
      </c>
      <c r="HT5" s="580">
        <f t="shared" si="5"/>
        <v>0</v>
      </c>
      <c r="HU5" s="580">
        <f t="shared" si="5"/>
        <v>0</v>
      </c>
      <c r="HV5" s="580">
        <f t="shared" si="5"/>
        <v>0</v>
      </c>
      <c r="HW5" s="580">
        <f t="shared" si="5"/>
        <v>0</v>
      </c>
      <c r="HX5" s="580">
        <f t="shared" si="5"/>
        <v>0</v>
      </c>
      <c r="HY5" s="580">
        <f t="shared" si="5"/>
        <v>0</v>
      </c>
      <c r="HZ5" s="580">
        <f t="shared" si="5"/>
        <v>0</v>
      </c>
      <c r="IA5" s="580">
        <f t="shared" si="5"/>
        <v>0</v>
      </c>
      <c r="IB5" s="580">
        <f t="shared" si="5"/>
        <v>0</v>
      </c>
      <c r="IC5" s="580">
        <f t="shared" si="5"/>
        <v>0</v>
      </c>
      <c r="ID5" s="580">
        <f t="shared" si="5"/>
        <v>0</v>
      </c>
      <c r="IE5" s="580">
        <f t="shared" si="5"/>
        <v>0</v>
      </c>
      <c r="IF5" s="580">
        <f t="shared" si="5"/>
        <v>0</v>
      </c>
      <c r="IG5" s="580">
        <f t="shared" si="5"/>
        <v>0</v>
      </c>
      <c r="IH5" s="580">
        <f t="shared" si="5"/>
        <v>0</v>
      </c>
      <c r="II5" s="580">
        <f t="shared" si="5"/>
        <v>0</v>
      </c>
    </row>
    <row r="6" spans="1:243" ht="15">
      <c r="A6" s="276">
        <v>5</v>
      </c>
      <c r="B6" s="275" t="s">
        <v>267</v>
      </c>
      <c r="C6" s="292" t="s">
        <v>444</v>
      </c>
      <c r="D6" s="582">
        <f t="shared" ref="D6:D13" si="6">+SUM(BL6:BN6)</f>
        <v>0</v>
      </c>
      <c r="E6" s="582">
        <f t="shared" ref="E6" si="7">+SUM(BR6:BT6)</f>
        <v>0</v>
      </c>
      <c r="F6" s="582">
        <f t="shared" ref="F6" si="8">+SUM(BX6:BZ6)</f>
        <v>0</v>
      </c>
      <c r="G6" s="582">
        <f t="shared" ref="G6" si="9">+SUM(CD6:CF6)</f>
        <v>149</v>
      </c>
      <c r="H6" s="582">
        <f t="shared" ref="H6" si="10">+SUM(CJ6:CL6)</f>
        <v>100</v>
      </c>
      <c r="I6" s="582">
        <f t="shared" ref="I6" si="11">+SUM(CP6:CR6)</f>
        <v>441</v>
      </c>
      <c r="J6" s="582">
        <f t="shared" ref="J6" si="12">+SUM(CV6:CX6)</f>
        <v>0</v>
      </c>
      <c r="K6" s="582">
        <f t="shared" ref="K6" si="13">+SUM(DB6:DD6)</f>
        <v>0</v>
      </c>
      <c r="L6" s="582">
        <f t="shared" ref="L6" si="14">+SUM(DH6:DJ6)</f>
        <v>0</v>
      </c>
      <c r="M6" s="582">
        <f t="shared" ref="M6" si="15">+SUM(DN6:DP6)</f>
        <v>169</v>
      </c>
      <c r="N6" s="582">
        <f t="shared" ref="N6" si="16">+SUM(DT6:DV6)</f>
        <v>62</v>
      </c>
      <c r="O6" s="582">
        <f t="shared" ref="O6" si="17">+SUM(DZ6:EB6)</f>
        <v>150</v>
      </c>
      <c r="P6" s="582">
        <f t="shared" ref="P6" si="18">+SUM(EF6:EH6)</f>
        <v>56</v>
      </c>
      <c r="Q6" s="582">
        <f t="shared" ref="Q6" si="19">+SUM(EL6:EN6)</f>
        <v>0</v>
      </c>
      <c r="R6" s="582">
        <f t="shared" ref="R6" si="20">+SUM(ER6:ET6)</f>
        <v>0</v>
      </c>
      <c r="S6" s="582">
        <f t="shared" ref="S6" si="21">+SUM(EX6:EZ6)</f>
        <v>0</v>
      </c>
      <c r="T6" s="582">
        <f t="shared" ref="T6" si="22">+SUM(FD6:FF6)</f>
        <v>0</v>
      </c>
      <c r="U6" s="582">
        <f t="shared" ref="U6" si="23">+SUM(FJ6:FL6)</f>
        <v>0</v>
      </c>
      <c r="V6" s="582">
        <f t="shared" ref="V6" si="24">+SUM(FP6:FR6)</f>
        <v>0</v>
      </c>
      <c r="W6" s="582">
        <f t="shared" ref="W6" si="25">+SUM(FV6:FX6)</f>
        <v>0</v>
      </c>
      <c r="X6" s="582">
        <f t="shared" ref="X6" si="26">+SUM(GB6:GD6)</f>
        <v>0</v>
      </c>
      <c r="Y6" s="582">
        <f t="shared" ref="Y6" si="27">+SUM(GH6:GJ6)</f>
        <v>0</v>
      </c>
      <c r="Z6" s="582">
        <f t="shared" ref="Z6" si="28">+SUM(GN6:GP6)</f>
        <v>0</v>
      </c>
      <c r="AA6" s="582">
        <f t="shared" ref="AA6" si="29">+SUM(GT6:GV6)</f>
        <v>0</v>
      </c>
      <c r="AB6" s="582">
        <f t="shared" ref="AB6" si="30">+SUM(GZ6:HB6)</f>
        <v>0</v>
      </c>
      <c r="AC6" s="582">
        <f t="shared" ref="AC6" si="31">+SUM(HF6:HH6)</f>
        <v>0</v>
      </c>
      <c r="AD6" s="582">
        <f t="shared" ref="AD6" si="32">+SUM(HL6:HN6)</f>
        <v>0</v>
      </c>
      <c r="AE6" s="582">
        <f t="shared" ref="AE6" si="33">+SUM(HR6:HT6)</f>
        <v>0</v>
      </c>
      <c r="AF6" s="582">
        <f t="shared" ref="AF6" si="34">+SUM(HX6:HZ6)</f>
        <v>0</v>
      </c>
      <c r="AG6" s="582">
        <f t="shared" ref="AG6" si="35">+SUM(ID6:IF6)</f>
        <v>0</v>
      </c>
      <c r="AH6" s="582">
        <f t="shared" ref="AH6" si="36">+SUM(BO6:BQ6)</f>
        <v>0</v>
      </c>
      <c r="AI6" s="582">
        <f t="shared" ref="AI6" si="37">+SUM(BU6:BW6)</f>
        <v>0</v>
      </c>
      <c r="AJ6" s="582">
        <f t="shared" ref="AJ6" si="38">+SUM(CA6:CC6)</f>
        <v>0</v>
      </c>
      <c r="AK6" s="582">
        <f t="shared" ref="AK6" si="39">+SUM(CG6:CI6)</f>
        <v>136</v>
      </c>
      <c r="AL6" s="582">
        <f t="shared" ref="AL6" si="40">+SUM(CM6:CO6)</f>
        <v>106</v>
      </c>
      <c r="AM6" s="582">
        <f t="shared" ref="AM6" si="41">+SUM(CS6:CU6)</f>
        <v>439</v>
      </c>
      <c r="AN6" s="582">
        <f t="shared" ref="AN6" si="42">+SUM(CY6:DA6)</f>
        <v>0</v>
      </c>
      <c r="AO6" s="582">
        <f t="shared" ref="AO6" si="43">+SUM(DE6:DG6)</f>
        <v>0</v>
      </c>
      <c r="AP6" s="582">
        <f t="shared" ref="AP6" si="44">+SUM(DK6:DM6)</f>
        <v>3</v>
      </c>
      <c r="AQ6" s="582">
        <f t="shared" ref="AQ6" si="45">+SUM(DQ6:DS6)</f>
        <v>107</v>
      </c>
      <c r="AR6" s="582">
        <f t="shared" ref="AR6" si="46">+SUM(DW6:DY6)</f>
        <v>10</v>
      </c>
      <c r="AS6" s="582">
        <f t="shared" ref="AS6" si="47">+SUM(EC6:EE6)</f>
        <v>104</v>
      </c>
      <c r="AT6" s="582">
        <f t="shared" ref="AT6" si="48">+SUM(EI6:EK6)</f>
        <v>65</v>
      </c>
      <c r="AU6" s="582">
        <f t="shared" ref="AU6" si="49">+SUM(EO6:EQ6)</f>
        <v>0</v>
      </c>
      <c r="AV6" s="582">
        <f t="shared" ref="AV6" si="50">+SUM(EU6:EW6)</f>
        <v>0</v>
      </c>
      <c r="AW6" s="582">
        <f t="shared" ref="AW6" si="51">+SUM(FA6:FC6)</f>
        <v>0</v>
      </c>
      <c r="AX6" s="582">
        <f t="shared" ref="AX6" si="52">+SUM(FG6:FI6)</f>
        <v>0</v>
      </c>
      <c r="AY6" s="582">
        <f t="shared" ref="AY6" si="53">+SUM(FM6:FO6)</f>
        <v>0</v>
      </c>
      <c r="AZ6" s="582">
        <f t="shared" ref="AZ6" si="54">+SUM(FS6:FU6)</f>
        <v>0</v>
      </c>
      <c r="BA6" s="582">
        <f t="shared" ref="BA6" si="55">+SUM(FY6:GA6)</f>
        <v>0</v>
      </c>
      <c r="BB6" s="582">
        <f t="shared" ref="BB6" si="56">+SUM(GE6:GG6)</f>
        <v>0</v>
      </c>
      <c r="BC6" s="582">
        <f t="shared" ref="BC6" si="57">+SUM(GK6:GM6)</f>
        <v>0</v>
      </c>
      <c r="BD6" s="582">
        <f t="shared" ref="BD6" si="58">+SUM(GQ6:GS6)</f>
        <v>0</v>
      </c>
      <c r="BE6" s="582">
        <f t="shared" ref="BE6" si="59">+SUM(GW6:GY6)</f>
        <v>0</v>
      </c>
      <c r="BF6" s="582">
        <f t="shared" ref="BF6" si="60">+SUM(HC6:HE6)</f>
        <v>0</v>
      </c>
      <c r="BG6" s="582">
        <f t="shared" ref="BG6" si="61">+SUM(HI6:HK6)</f>
        <v>0</v>
      </c>
      <c r="BH6" s="582">
        <f t="shared" ref="BH6" si="62">+SUM(HO6:HQ6)</f>
        <v>0</v>
      </c>
      <c r="BI6" s="582">
        <f t="shared" ref="BI6" si="63">+SUM(HU6:HW6)</f>
        <v>0</v>
      </c>
      <c r="BJ6" s="582">
        <f t="shared" ref="BJ6" si="64">+SUM(IA6:IC6)</f>
        <v>0</v>
      </c>
      <c r="BK6" s="582">
        <f t="shared" ref="BK6" si="65">+SUM(IG6:II6)</f>
        <v>0</v>
      </c>
      <c r="BL6" s="276"/>
      <c r="BM6" s="276"/>
      <c r="BN6" s="276"/>
      <c r="BO6" s="276"/>
      <c r="BP6" s="276"/>
      <c r="BQ6" s="276"/>
      <c r="BR6" s="276"/>
      <c r="BS6" s="276"/>
      <c r="BT6" s="276"/>
      <c r="BU6" s="276"/>
      <c r="BV6" s="276"/>
      <c r="BW6" s="276"/>
      <c r="BX6" s="276"/>
      <c r="BY6" s="276"/>
      <c r="BZ6" s="276"/>
      <c r="CA6" s="276"/>
      <c r="CB6" s="276"/>
      <c r="CC6" s="276"/>
      <c r="CD6" s="276">
        <v>52</v>
      </c>
      <c r="CE6" s="276">
        <v>38</v>
      </c>
      <c r="CF6" s="276">
        <v>59</v>
      </c>
      <c r="CG6" s="276">
        <v>41</v>
      </c>
      <c r="CH6" s="276">
        <v>40</v>
      </c>
      <c r="CI6" s="276">
        <v>55</v>
      </c>
      <c r="CJ6" s="276">
        <v>32</v>
      </c>
      <c r="CK6" s="276">
        <v>31</v>
      </c>
      <c r="CL6" s="276">
        <v>37</v>
      </c>
      <c r="CM6" s="276">
        <v>37</v>
      </c>
      <c r="CN6" s="276">
        <v>36</v>
      </c>
      <c r="CO6" s="276">
        <v>33</v>
      </c>
      <c r="CP6" s="276">
        <v>157</v>
      </c>
      <c r="CQ6" s="276">
        <v>158</v>
      </c>
      <c r="CR6" s="276">
        <v>126</v>
      </c>
      <c r="CS6" s="276">
        <v>165</v>
      </c>
      <c r="CT6" s="276">
        <v>130</v>
      </c>
      <c r="CU6" s="276">
        <v>144</v>
      </c>
      <c r="CV6" s="276"/>
      <c r="CW6" s="276"/>
      <c r="CX6" s="276"/>
      <c r="CY6" s="276"/>
      <c r="CZ6" s="276"/>
      <c r="DA6" s="276"/>
      <c r="DB6" s="276"/>
      <c r="DC6" s="276"/>
      <c r="DD6" s="276"/>
      <c r="DE6" s="276"/>
      <c r="DF6" s="276"/>
      <c r="DG6" s="276"/>
      <c r="DH6" s="276">
        <v>0</v>
      </c>
      <c r="DI6" s="276">
        <v>0</v>
      </c>
      <c r="DJ6" s="276">
        <v>0</v>
      </c>
      <c r="DK6" s="276">
        <v>0</v>
      </c>
      <c r="DL6" s="276">
        <v>1</v>
      </c>
      <c r="DM6" s="276">
        <v>2</v>
      </c>
      <c r="DN6" s="276">
        <v>56</v>
      </c>
      <c r="DO6" s="276">
        <v>44</v>
      </c>
      <c r="DP6" s="276">
        <v>69</v>
      </c>
      <c r="DQ6" s="276">
        <v>52</v>
      </c>
      <c r="DR6" s="276">
        <v>50</v>
      </c>
      <c r="DS6" s="276">
        <v>5</v>
      </c>
      <c r="DT6" s="276">
        <v>51</v>
      </c>
      <c r="DU6" s="276">
        <v>8</v>
      </c>
      <c r="DV6" s="276">
        <v>3</v>
      </c>
      <c r="DW6" s="276">
        <v>6</v>
      </c>
      <c r="DX6" s="276">
        <v>3</v>
      </c>
      <c r="DY6" s="276">
        <v>1</v>
      </c>
      <c r="DZ6" s="276">
        <v>48</v>
      </c>
      <c r="EA6" s="276">
        <v>45</v>
      </c>
      <c r="EB6" s="276">
        <v>57</v>
      </c>
      <c r="EC6" s="276">
        <v>29</v>
      </c>
      <c r="ED6" s="276">
        <v>41</v>
      </c>
      <c r="EE6" s="276">
        <v>34</v>
      </c>
      <c r="EF6" s="276">
        <v>22</v>
      </c>
      <c r="EG6" s="276">
        <v>18</v>
      </c>
      <c r="EH6" s="276">
        <v>16</v>
      </c>
      <c r="EI6" s="276">
        <v>21</v>
      </c>
      <c r="EJ6" s="276">
        <v>30</v>
      </c>
      <c r="EK6" s="276">
        <v>14</v>
      </c>
      <c r="EL6" s="276"/>
      <c r="EM6" s="276"/>
      <c r="EN6" s="276"/>
      <c r="EO6" s="276"/>
      <c r="EP6" s="276"/>
      <c r="EQ6" s="276"/>
      <c r="ER6" s="276"/>
      <c r="ES6" s="276"/>
      <c r="ET6" s="276"/>
      <c r="EU6" s="276"/>
      <c r="EV6" s="276"/>
      <c r="EW6" s="276"/>
      <c r="EX6" s="276"/>
      <c r="EY6" s="276"/>
      <c r="EZ6" s="276"/>
      <c r="FA6" s="276"/>
      <c r="FB6" s="276"/>
      <c r="FC6" s="276"/>
      <c r="FD6" s="276"/>
      <c r="FE6" s="276"/>
      <c r="FF6" s="276"/>
      <c r="FG6" s="276"/>
      <c r="FH6" s="276"/>
      <c r="FI6" s="276"/>
      <c r="FJ6" s="276"/>
      <c r="FK6" s="276"/>
      <c r="FL6" s="276"/>
      <c r="FM6" s="276"/>
      <c r="FN6" s="276"/>
      <c r="FO6" s="276"/>
      <c r="FP6" s="276"/>
      <c r="FQ6" s="276"/>
      <c r="FR6" s="276"/>
      <c r="FS6" s="276"/>
      <c r="FT6" s="276"/>
      <c r="FU6" s="276"/>
      <c r="FV6" s="276"/>
      <c r="FW6" s="276"/>
      <c r="FX6" s="276"/>
      <c r="FY6" s="276"/>
      <c r="FZ6" s="276"/>
      <c r="GA6" s="276"/>
      <c r="GB6" s="276"/>
      <c r="GC6" s="276"/>
      <c r="GD6" s="276"/>
      <c r="GE6" s="276"/>
      <c r="GF6" s="276"/>
      <c r="GG6" s="276"/>
      <c r="GH6" s="276"/>
      <c r="GI6" s="276"/>
      <c r="GJ6" s="276"/>
      <c r="GK6" s="276"/>
      <c r="GL6" s="276"/>
      <c r="GM6" s="276"/>
      <c r="GN6" s="276"/>
      <c r="GO6" s="276"/>
      <c r="GP6" s="276"/>
      <c r="GQ6" s="276"/>
      <c r="GR6" s="276"/>
      <c r="GS6" s="276"/>
      <c r="GT6" s="276"/>
      <c r="GU6" s="276"/>
      <c r="GV6" s="276"/>
      <c r="GW6" s="276"/>
      <c r="GX6" s="276"/>
      <c r="GY6" s="276"/>
      <c r="GZ6" s="276"/>
      <c r="HA6" s="276"/>
      <c r="HB6" s="276"/>
      <c r="HC6" s="276"/>
      <c r="HD6" s="276"/>
      <c r="HE6" s="276"/>
      <c r="HF6" s="276"/>
      <c r="HG6" s="276"/>
      <c r="HH6" s="276"/>
      <c r="HI6" s="276"/>
      <c r="HJ6" s="276"/>
      <c r="HK6" s="276"/>
      <c r="HL6" s="276"/>
      <c r="HM6" s="276"/>
      <c r="HN6" s="276"/>
      <c r="HO6" s="276"/>
      <c r="HP6" s="276"/>
      <c r="HQ6" s="276"/>
      <c r="HR6" s="276"/>
      <c r="HS6" s="276"/>
      <c r="HT6" s="276"/>
      <c r="HU6" s="276"/>
      <c r="HV6" s="276"/>
      <c r="HW6" s="276"/>
      <c r="HX6" s="276"/>
      <c r="HY6" s="276"/>
      <c r="HZ6" s="276"/>
      <c r="IA6" s="276"/>
      <c r="IB6" s="276"/>
      <c r="IC6" s="276"/>
      <c r="ID6" s="276"/>
      <c r="IE6" s="276"/>
      <c r="IF6" s="276"/>
      <c r="IG6" s="276"/>
      <c r="IH6" s="276"/>
      <c r="II6" s="276"/>
    </row>
    <row r="7" spans="1:243" ht="15">
      <c r="A7" s="276">
        <v>6</v>
      </c>
      <c r="B7" s="275" t="s">
        <v>267</v>
      </c>
      <c r="C7" s="292" t="s">
        <v>443</v>
      </c>
      <c r="D7" s="582">
        <f t="shared" si="6"/>
        <v>0</v>
      </c>
      <c r="E7" s="582">
        <f t="shared" ref="E7:E13" si="66">+SUM(BR7:BT7)</f>
        <v>0</v>
      </c>
      <c r="F7" s="582">
        <f t="shared" ref="F7:F13" si="67">+SUM(BX7:BZ7)</f>
        <v>0</v>
      </c>
      <c r="G7" s="582">
        <f t="shared" ref="G7:G13" si="68">+SUM(CD7:CF7)</f>
        <v>8</v>
      </c>
      <c r="H7" s="582">
        <f t="shared" ref="H7:H13" si="69">+SUM(CJ7:CL7)</f>
        <v>10</v>
      </c>
      <c r="I7" s="582">
        <f t="shared" ref="I7:I13" si="70">+SUM(CP7:CR7)</f>
        <v>92</v>
      </c>
      <c r="J7" s="582">
        <f t="shared" ref="J7:J13" si="71">+SUM(CV7:CX7)</f>
        <v>0</v>
      </c>
      <c r="K7" s="582">
        <f t="shared" ref="K7:K13" si="72">+SUM(DB7:DD7)</f>
        <v>0</v>
      </c>
      <c r="L7" s="582">
        <f t="shared" ref="L7:L13" si="73">+SUM(DH7:DJ7)</f>
        <v>17</v>
      </c>
      <c r="M7" s="582">
        <f t="shared" ref="M7:M13" si="74">+SUM(DN7:DP7)</f>
        <v>18</v>
      </c>
      <c r="N7" s="582">
        <f t="shared" ref="N7:N13" si="75">+SUM(DT7:DV7)</f>
        <v>9</v>
      </c>
      <c r="O7" s="582">
        <f t="shared" ref="O7:O13" si="76">+SUM(DZ7:EB7)</f>
        <v>20</v>
      </c>
      <c r="P7" s="582">
        <f t="shared" ref="P7:P13" si="77">+SUM(EF7:EH7)</f>
        <v>8</v>
      </c>
      <c r="Q7" s="582">
        <f t="shared" ref="Q7:Q13" si="78">+SUM(EL7:EN7)</f>
        <v>0</v>
      </c>
      <c r="R7" s="582">
        <f t="shared" ref="R7:R13" si="79">+SUM(ER7:ET7)</f>
        <v>0</v>
      </c>
      <c r="S7" s="582">
        <f t="shared" ref="S7:S13" si="80">+SUM(EX7:EZ7)</f>
        <v>0</v>
      </c>
      <c r="T7" s="582">
        <f t="shared" ref="T7:T13" si="81">+SUM(FD7:FF7)</f>
        <v>0</v>
      </c>
      <c r="U7" s="582">
        <f t="shared" ref="U7:U13" si="82">+SUM(FJ7:FL7)</f>
        <v>0</v>
      </c>
      <c r="V7" s="582">
        <f t="shared" ref="V7:V13" si="83">+SUM(FP7:FR7)</f>
        <v>0</v>
      </c>
      <c r="W7" s="582">
        <f t="shared" ref="W7:W13" si="84">+SUM(FV7:FX7)</f>
        <v>0</v>
      </c>
      <c r="X7" s="582">
        <f t="shared" ref="X7:X13" si="85">+SUM(GB7:GD7)</f>
        <v>0</v>
      </c>
      <c r="Y7" s="582">
        <f t="shared" ref="Y7:Y13" si="86">+SUM(GH7:GJ7)</f>
        <v>0</v>
      </c>
      <c r="Z7" s="582">
        <f t="shared" ref="Z7:Z13" si="87">+SUM(GN7:GP7)</f>
        <v>0</v>
      </c>
      <c r="AA7" s="582">
        <f t="shared" ref="AA7:AA13" si="88">+SUM(GT7:GV7)</f>
        <v>0</v>
      </c>
      <c r="AB7" s="582">
        <f t="shared" ref="AB7:AB13" si="89">+SUM(GZ7:HB7)</f>
        <v>0</v>
      </c>
      <c r="AC7" s="582">
        <f t="shared" ref="AC7:AC13" si="90">+SUM(HF7:HH7)</f>
        <v>0</v>
      </c>
      <c r="AD7" s="582">
        <f t="shared" ref="AD7:AD13" si="91">+SUM(HL7:HN7)</f>
        <v>0</v>
      </c>
      <c r="AE7" s="582">
        <f t="shared" ref="AE7:AE13" si="92">+SUM(HR7:HT7)</f>
        <v>0</v>
      </c>
      <c r="AF7" s="582">
        <f t="shared" ref="AF7:AF13" si="93">+SUM(HX7:HZ7)</f>
        <v>0</v>
      </c>
      <c r="AG7" s="582">
        <f t="shared" ref="AG7:AG13" si="94">+SUM(ID7:IF7)</f>
        <v>0</v>
      </c>
      <c r="AH7" s="582">
        <f t="shared" ref="AH7:AH13" si="95">+SUM(BO7:BQ7)</f>
        <v>0</v>
      </c>
      <c r="AI7" s="582">
        <f t="shared" ref="AI7:AI13" si="96">+SUM(BU7:BW7)</f>
        <v>0</v>
      </c>
      <c r="AJ7" s="582">
        <f t="shared" ref="AJ7:AJ13" si="97">+SUM(CA7:CC7)</f>
        <v>0</v>
      </c>
      <c r="AK7" s="582">
        <f t="shared" ref="AK7:AK13" si="98">+SUM(CG7:CI7)</f>
        <v>10</v>
      </c>
      <c r="AL7" s="582">
        <f t="shared" ref="AL7:AL13" si="99">+SUM(CM7:CO7)</f>
        <v>11</v>
      </c>
      <c r="AM7" s="582">
        <f t="shared" ref="AM7:AM13" si="100">+SUM(CS7:CU7)</f>
        <v>99</v>
      </c>
      <c r="AN7" s="582">
        <f t="shared" ref="AN7:AN13" si="101">+SUM(CY7:DA7)</f>
        <v>0</v>
      </c>
      <c r="AO7" s="582">
        <f t="shared" ref="AO7:AO13" si="102">+SUM(DE7:DG7)</f>
        <v>0</v>
      </c>
      <c r="AP7" s="582">
        <f t="shared" ref="AP7:AP13" si="103">+SUM(DK7:DM7)</f>
        <v>23</v>
      </c>
      <c r="AQ7" s="582">
        <f t="shared" ref="AQ7:AQ13" si="104">+SUM(DQ7:DS7)</f>
        <v>10</v>
      </c>
      <c r="AR7" s="582">
        <f t="shared" ref="AR7:AR13" si="105">+SUM(DW7:DY7)</f>
        <v>0</v>
      </c>
      <c r="AS7" s="582">
        <f t="shared" ref="AS7:AS13" si="106">+SUM(EC7:EE7)</f>
        <v>16</v>
      </c>
      <c r="AT7" s="582">
        <f t="shared" ref="AT7:AT13" si="107">+SUM(EI7:EK7)</f>
        <v>12</v>
      </c>
      <c r="AU7" s="582">
        <f t="shared" ref="AU7:AU13" si="108">+SUM(EO7:EQ7)</f>
        <v>0</v>
      </c>
      <c r="AV7" s="582">
        <f t="shared" ref="AV7:AV13" si="109">+SUM(EU7:EW7)</f>
        <v>0</v>
      </c>
      <c r="AW7" s="582">
        <f t="shared" ref="AW7:AW13" si="110">+SUM(FA7:FC7)</f>
        <v>0</v>
      </c>
      <c r="AX7" s="582">
        <f t="shared" ref="AX7:AX13" si="111">+SUM(FG7:FI7)</f>
        <v>0</v>
      </c>
      <c r="AY7" s="582">
        <f t="shared" ref="AY7:AY13" si="112">+SUM(FM7:FO7)</f>
        <v>0</v>
      </c>
      <c r="AZ7" s="582">
        <f t="shared" ref="AZ7:AZ13" si="113">+SUM(FS7:FU7)</f>
        <v>0</v>
      </c>
      <c r="BA7" s="582">
        <f t="shared" ref="BA7:BA13" si="114">+SUM(FY7:GA7)</f>
        <v>0</v>
      </c>
      <c r="BB7" s="582">
        <f t="shared" ref="BB7:BB13" si="115">+SUM(GE7:GG7)</f>
        <v>0</v>
      </c>
      <c r="BC7" s="582">
        <f t="shared" ref="BC7:BC13" si="116">+SUM(GK7:GM7)</f>
        <v>0</v>
      </c>
      <c r="BD7" s="582">
        <f t="shared" ref="BD7:BD13" si="117">+SUM(GQ7:GS7)</f>
        <v>0</v>
      </c>
      <c r="BE7" s="582">
        <f t="shared" ref="BE7:BE13" si="118">+SUM(GW7:GY7)</f>
        <v>0</v>
      </c>
      <c r="BF7" s="582">
        <f t="shared" ref="BF7:BF13" si="119">+SUM(HC7:HE7)</f>
        <v>0</v>
      </c>
      <c r="BG7" s="582">
        <f t="shared" ref="BG7:BG13" si="120">+SUM(HI7:HK7)</f>
        <v>0</v>
      </c>
      <c r="BH7" s="582">
        <f t="shared" ref="BH7:BH13" si="121">+SUM(HO7:HQ7)</f>
        <v>0</v>
      </c>
      <c r="BI7" s="582">
        <f t="shared" ref="BI7:BI13" si="122">+SUM(HU7:HW7)</f>
        <v>0</v>
      </c>
      <c r="BJ7" s="582">
        <f t="shared" ref="BJ7:BJ13" si="123">+SUM(IA7:IC7)</f>
        <v>0</v>
      </c>
      <c r="BK7" s="582">
        <f t="shared" ref="BK7:BK13" si="124">+SUM(IG7:II7)</f>
        <v>0</v>
      </c>
      <c r="BL7" s="276"/>
      <c r="BM7" s="276"/>
      <c r="BN7" s="276"/>
      <c r="BO7" s="276"/>
      <c r="BP7" s="276"/>
      <c r="BQ7" s="276"/>
      <c r="BR7" s="276"/>
      <c r="BS7" s="276"/>
      <c r="BT7" s="276"/>
      <c r="BU7" s="276"/>
      <c r="BV7" s="276"/>
      <c r="BW7" s="276"/>
      <c r="BX7" s="276"/>
      <c r="BY7" s="276"/>
      <c r="BZ7" s="276"/>
      <c r="CA7" s="276"/>
      <c r="CB7" s="276"/>
      <c r="CC7" s="276"/>
      <c r="CD7" s="276">
        <v>0</v>
      </c>
      <c r="CE7" s="276">
        <v>4</v>
      </c>
      <c r="CF7" s="276">
        <v>4</v>
      </c>
      <c r="CG7" s="276">
        <v>2</v>
      </c>
      <c r="CH7" s="276">
        <v>4</v>
      </c>
      <c r="CI7" s="276">
        <v>4</v>
      </c>
      <c r="CJ7" s="276">
        <v>4</v>
      </c>
      <c r="CK7" s="276">
        <v>3</v>
      </c>
      <c r="CL7" s="276">
        <v>3</v>
      </c>
      <c r="CM7" s="276">
        <v>3</v>
      </c>
      <c r="CN7" s="276">
        <v>7</v>
      </c>
      <c r="CO7" s="276">
        <v>1</v>
      </c>
      <c r="CP7" s="276">
        <v>35</v>
      </c>
      <c r="CQ7" s="276">
        <v>31</v>
      </c>
      <c r="CR7" s="276">
        <v>26</v>
      </c>
      <c r="CS7" s="276">
        <v>38</v>
      </c>
      <c r="CT7" s="276">
        <v>29</v>
      </c>
      <c r="CU7" s="276">
        <v>32</v>
      </c>
      <c r="CV7" s="276"/>
      <c r="CW7" s="276"/>
      <c r="CX7" s="276"/>
      <c r="CY7" s="276"/>
      <c r="CZ7" s="276"/>
      <c r="DA7" s="276"/>
      <c r="DB7" s="276"/>
      <c r="DC7" s="276"/>
      <c r="DD7" s="276"/>
      <c r="DE7" s="276"/>
      <c r="DF7" s="276"/>
      <c r="DG7" s="276"/>
      <c r="DH7" s="276">
        <v>5</v>
      </c>
      <c r="DI7" s="276">
        <v>2</v>
      </c>
      <c r="DJ7" s="276">
        <v>10</v>
      </c>
      <c r="DK7" s="276">
        <v>8</v>
      </c>
      <c r="DL7" s="276">
        <v>9</v>
      </c>
      <c r="DM7" s="276">
        <v>6</v>
      </c>
      <c r="DN7" s="276">
        <v>8</v>
      </c>
      <c r="DO7" s="276">
        <v>3</v>
      </c>
      <c r="DP7" s="276">
        <v>7</v>
      </c>
      <c r="DQ7" s="276">
        <v>6</v>
      </c>
      <c r="DR7" s="276">
        <v>3</v>
      </c>
      <c r="DS7" s="276">
        <v>1</v>
      </c>
      <c r="DT7" s="276">
        <v>6</v>
      </c>
      <c r="DU7" s="276">
        <v>3</v>
      </c>
      <c r="DV7" s="276">
        <v>0</v>
      </c>
      <c r="DW7" s="276">
        <v>0</v>
      </c>
      <c r="DX7" s="276">
        <v>0</v>
      </c>
      <c r="DY7" s="276">
        <v>0</v>
      </c>
      <c r="DZ7" s="276">
        <v>8</v>
      </c>
      <c r="EA7" s="276">
        <v>5</v>
      </c>
      <c r="EB7" s="276">
        <v>7</v>
      </c>
      <c r="EC7" s="276">
        <v>6</v>
      </c>
      <c r="ED7" s="276">
        <v>2</v>
      </c>
      <c r="EE7" s="276">
        <v>8</v>
      </c>
      <c r="EF7" s="276">
        <v>2</v>
      </c>
      <c r="EG7" s="276">
        <v>2</v>
      </c>
      <c r="EH7" s="276">
        <v>4</v>
      </c>
      <c r="EI7" s="276">
        <v>2</v>
      </c>
      <c r="EJ7" s="276">
        <v>6</v>
      </c>
      <c r="EK7" s="276">
        <v>4</v>
      </c>
      <c r="EL7" s="276"/>
      <c r="EM7" s="276"/>
      <c r="EN7" s="276"/>
      <c r="EO7" s="276"/>
      <c r="EP7" s="276"/>
      <c r="EQ7" s="276"/>
      <c r="ER7" s="276"/>
      <c r="ES7" s="276"/>
      <c r="ET7" s="276"/>
      <c r="EU7" s="276"/>
      <c r="EV7" s="276"/>
      <c r="EW7" s="276"/>
      <c r="EX7" s="276"/>
      <c r="EY7" s="276"/>
      <c r="EZ7" s="276"/>
      <c r="FA7" s="276"/>
      <c r="FB7" s="276"/>
      <c r="FC7" s="276"/>
      <c r="FD7" s="276"/>
      <c r="FE7" s="276"/>
      <c r="FF7" s="276"/>
      <c r="FG7" s="276"/>
      <c r="FH7" s="276"/>
      <c r="FI7" s="276"/>
      <c r="FJ7" s="276"/>
      <c r="FK7" s="276"/>
      <c r="FL7" s="276"/>
      <c r="FM7" s="276"/>
      <c r="FN7" s="276"/>
      <c r="FO7" s="276"/>
      <c r="FP7" s="276"/>
      <c r="FQ7" s="276"/>
      <c r="FR7" s="276"/>
      <c r="FS7" s="276"/>
      <c r="FT7" s="276"/>
      <c r="FU7" s="276"/>
      <c r="FV7" s="276"/>
      <c r="FW7" s="276"/>
      <c r="FX7" s="276"/>
      <c r="FY7" s="276"/>
      <c r="FZ7" s="276"/>
      <c r="GA7" s="276"/>
      <c r="GB7" s="276"/>
      <c r="GC7" s="276"/>
      <c r="GD7" s="276"/>
      <c r="GE7" s="276"/>
      <c r="GF7" s="276"/>
      <c r="GG7" s="276"/>
      <c r="GH7" s="276"/>
      <c r="GI7" s="276"/>
      <c r="GJ7" s="276"/>
      <c r="GK7" s="276"/>
      <c r="GL7" s="276"/>
      <c r="GM7" s="276"/>
      <c r="GN7" s="276"/>
      <c r="GO7" s="276"/>
      <c r="GP7" s="276"/>
      <c r="GQ7" s="276"/>
      <c r="GR7" s="276"/>
      <c r="GS7" s="276"/>
      <c r="GT7" s="276"/>
      <c r="GU7" s="276"/>
      <c r="GV7" s="276"/>
      <c r="GW7" s="276"/>
      <c r="GX7" s="276"/>
      <c r="GY7" s="276"/>
      <c r="GZ7" s="276"/>
      <c r="HA7" s="276"/>
      <c r="HB7" s="276"/>
      <c r="HC7" s="276"/>
      <c r="HD7" s="276"/>
      <c r="HE7" s="276"/>
      <c r="HF7" s="276"/>
      <c r="HG7" s="276"/>
      <c r="HH7" s="276"/>
      <c r="HI7" s="276"/>
      <c r="HJ7" s="276"/>
      <c r="HK7" s="276"/>
      <c r="HL7" s="276"/>
      <c r="HM7" s="276"/>
      <c r="HN7" s="276"/>
      <c r="HO7" s="276"/>
      <c r="HP7" s="276"/>
      <c r="HQ7" s="276"/>
      <c r="HR7" s="276"/>
      <c r="HS7" s="276"/>
      <c r="HT7" s="276"/>
      <c r="HU7" s="276"/>
      <c r="HV7" s="276"/>
      <c r="HW7" s="276"/>
      <c r="HX7" s="276"/>
      <c r="HY7" s="276"/>
      <c r="HZ7" s="276"/>
      <c r="IA7" s="276"/>
      <c r="IB7" s="276"/>
      <c r="IC7" s="276"/>
      <c r="ID7" s="276"/>
      <c r="IE7" s="276"/>
      <c r="IF7" s="276"/>
      <c r="IG7" s="276"/>
      <c r="IH7" s="276"/>
      <c r="II7" s="276"/>
    </row>
    <row r="8" spans="1:243" ht="15">
      <c r="A8" s="276">
        <v>7</v>
      </c>
      <c r="B8" s="275" t="s">
        <v>267</v>
      </c>
      <c r="C8" s="292" t="s">
        <v>447</v>
      </c>
      <c r="D8" s="582">
        <f t="shared" si="6"/>
        <v>0</v>
      </c>
      <c r="E8" s="582">
        <f t="shared" si="66"/>
        <v>0</v>
      </c>
      <c r="F8" s="582">
        <f t="shared" si="67"/>
        <v>0</v>
      </c>
      <c r="G8" s="582">
        <f t="shared" si="68"/>
        <v>18</v>
      </c>
      <c r="H8" s="582">
        <f t="shared" si="69"/>
        <v>18</v>
      </c>
      <c r="I8" s="582">
        <f t="shared" si="70"/>
        <v>102</v>
      </c>
      <c r="J8" s="582">
        <f t="shared" si="71"/>
        <v>0</v>
      </c>
      <c r="K8" s="582">
        <f t="shared" si="72"/>
        <v>0</v>
      </c>
      <c r="L8" s="582">
        <f t="shared" si="73"/>
        <v>3</v>
      </c>
      <c r="M8" s="582">
        <f t="shared" si="74"/>
        <v>17</v>
      </c>
      <c r="N8" s="582">
        <f t="shared" si="75"/>
        <v>14</v>
      </c>
      <c r="O8" s="582">
        <f t="shared" si="76"/>
        <v>22</v>
      </c>
      <c r="P8" s="582">
        <f t="shared" si="77"/>
        <v>24</v>
      </c>
      <c r="Q8" s="582">
        <f t="shared" si="78"/>
        <v>0</v>
      </c>
      <c r="R8" s="582">
        <f t="shared" si="79"/>
        <v>0</v>
      </c>
      <c r="S8" s="582">
        <f t="shared" si="80"/>
        <v>0</v>
      </c>
      <c r="T8" s="582">
        <f t="shared" si="81"/>
        <v>0</v>
      </c>
      <c r="U8" s="582">
        <f t="shared" si="82"/>
        <v>0</v>
      </c>
      <c r="V8" s="582">
        <f t="shared" si="83"/>
        <v>0</v>
      </c>
      <c r="W8" s="582">
        <f t="shared" si="84"/>
        <v>0</v>
      </c>
      <c r="X8" s="582">
        <f t="shared" si="85"/>
        <v>0</v>
      </c>
      <c r="Y8" s="582">
        <f t="shared" si="86"/>
        <v>0</v>
      </c>
      <c r="Z8" s="582">
        <f t="shared" si="87"/>
        <v>0</v>
      </c>
      <c r="AA8" s="582">
        <f t="shared" si="88"/>
        <v>0</v>
      </c>
      <c r="AB8" s="582">
        <f t="shared" si="89"/>
        <v>0</v>
      </c>
      <c r="AC8" s="582">
        <f t="shared" si="90"/>
        <v>0</v>
      </c>
      <c r="AD8" s="582">
        <f t="shared" si="91"/>
        <v>0</v>
      </c>
      <c r="AE8" s="582">
        <f t="shared" si="92"/>
        <v>0</v>
      </c>
      <c r="AF8" s="582">
        <f t="shared" si="93"/>
        <v>0</v>
      </c>
      <c r="AG8" s="582">
        <f t="shared" si="94"/>
        <v>0</v>
      </c>
      <c r="AH8" s="582">
        <f t="shared" si="95"/>
        <v>0</v>
      </c>
      <c r="AI8" s="582">
        <f t="shared" si="96"/>
        <v>0</v>
      </c>
      <c r="AJ8" s="582">
        <f t="shared" si="97"/>
        <v>0</v>
      </c>
      <c r="AK8" s="582">
        <f t="shared" si="98"/>
        <v>18</v>
      </c>
      <c r="AL8" s="582">
        <f t="shared" si="99"/>
        <v>9</v>
      </c>
      <c r="AM8" s="582">
        <f t="shared" si="100"/>
        <v>93</v>
      </c>
      <c r="AN8" s="582">
        <f t="shared" si="101"/>
        <v>0</v>
      </c>
      <c r="AO8" s="582">
        <f t="shared" si="102"/>
        <v>0</v>
      </c>
      <c r="AP8" s="582">
        <f t="shared" si="103"/>
        <v>0</v>
      </c>
      <c r="AQ8" s="582">
        <f t="shared" si="104"/>
        <v>23</v>
      </c>
      <c r="AR8" s="582">
        <f t="shared" si="105"/>
        <v>0</v>
      </c>
      <c r="AS8" s="582">
        <f t="shared" si="106"/>
        <v>28</v>
      </c>
      <c r="AT8" s="582">
        <f t="shared" si="107"/>
        <v>9</v>
      </c>
      <c r="AU8" s="582">
        <f t="shared" si="108"/>
        <v>0</v>
      </c>
      <c r="AV8" s="582">
        <f t="shared" si="109"/>
        <v>0</v>
      </c>
      <c r="AW8" s="582">
        <f t="shared" si="110"/>
        <v>0</v>
      </c>
      <c r="AX8" s="582">
        <f t="shared" si="111"/>
        <v>0</v>
      </c>
      <c r="AY8" s="582">
        <f t="shared" si="112"/>
        <v>0</v>
      </c>
      <c r="AZ8" s="582">
        <f t="shared" si="113"/>
        <v>0</v>
      </c>
      <c r="BA8" s="582">
        <f t="shared" si="114"/>
        <v>0</v>
      </c>
      <c r="BB8" s="582">
        <f t="shared" si="115"/>
        <v>0</v>
      </c>
      <c r="BC8" s="582">
        <f t="shared" si="116"/>
        <v>0</v>
      </c>
      <c r="BD8" s="582">
        <f t="shared" si="117"/>
        <v>0</v>
      </c>
      <c r="BE8" s="582">
        <f t="shared" si="118"/>
        <v>0</v>
      </c>
      <c r="BF8" s="582">
        <f t="shared" si="119"/>
        <v>0</v>
      </c>
      <c r="BG8" s="582">
        <f t="shared" si="120"/>
        <v>0</v>
      </c>
      <c r="BH8" s="582">
        <f t="shared" si="121"/>
        <v>0</v>
      </c>
      <c r="BI8" s="582">
        <f t="shared" si="122"/>
        <v>0</v>
      </c>
      <c r="BJ8" s="582">
        <f t="shared" si="123"/>
        <v>0</v>
      </c>
      <c r="BK8" s="582">
        <f t="shared" si="124"/>
        <v>0</v>
      </c>
      <c r="BL8" s="276"/>
      <c r="BM8" s="276"/>
      <c r="BN8" s="276"/>
      <c r="BO8" s="276"/>
      <c r="BP8" s="276"/>
      <c r="BQ8" s="276"/>
      <c r="BR8" s="276"/>
      <c r="BS8" s="276"/>
      <c r="BT8" s="276"/>
      <c r="BU8" s="276"/>
      <c r="BV8" s="276"/>
      <c r="BW8" s="276"/>
      <c r="BX8" s="276"/>
      <c r="BY8" s="276"/>
      <c r="BZ8" s="276"/>
      <c r="CA8" s="276"/>
      <c r="CB8" s="276"/>
      <c r="CC8" s="276"/>
      <c r="CD8" s="276">
        <v>7</v>
      </c>
      <c r="CE8" s="276">
        <v>2</v>
      </c>
      <c r="CF8" s="276">
        <v>9</v>
      </c>
      <c r="CG8" s="276">
        <v>3</v>
      </c>
      <c r="CH8" s="276">
        <v>6</v>
      </c>
      <c r="CI8" s="276">
        <v>9</v>
      </c>
      <c r="CJ8" s="276">
        <v>9</v>
      </c>
      <c r="CK8" s="276">
        <v>5</v>
      </c>
      <c r="CL8" s="276">
        <v>4</v>
      </c>
      <c r="CM8" s="276">
        <v>3</v>
      </c>
      <c r="CN8" s="276">
        <v>2</v>
      </c>
      <c r="CO8" s="276">
        <v>4</v>
      </c>
      <c r="CP8" s="276">
        <v>42</v>
      </c>
      <c r="CQ8" s="276">
        <v>29</v>
      </c>
      <c r="CR8" s="276">
        <v>31</v>
      </c>
      <c r="CS8" s="276">
        <v>31</v>
      </c>
      <c r="CT8" s="276">
        <v>34</v>
      </c>
      <c r="CU8" s="276">
        <v>28</v>
      </c>
      <c r="CV8" s="276"/>
      <c r="CW8" s="276"/>
      <c r="CX8" s="276"/>
      <c r="CY8" s="276"/>
      <c r="CZ8" s="276"/>
      <c r="DA8" s="276"/>
      <c r="DB8" s="276"/>
      <c r="DC8" s="276"/>
      <c r="DD8" s="276"/>
      <c r="DE8" s="276"/>
      <c r="DF8" s="276"/>
      <c r="DG8" s="276"/>
      <c r="DH8" s="276">
        <v>1</v>
      </c>
      <c r="DI8" s="276">
        <v>1</v>
      </c>
      <c r="DJ8" s="276">
        <v>1</v>
      </c>
      <c r="DK8" s="276">
        <v>0</v>
      </c>
      <c r="DL8" s="276">
        <v>0</v>
      </c>
      <c r="DM8" s="276">
        <v>0</v>
      </c>
      <c r="DN8" s="276">
        <v>8</v>
      </c>
      <c r="DO8" s="276">
        <v>5</v>
      </c>
      <c r="DP8" s="276">
        <v>4</v>
      </c>
      <c r="DQ8" s="276">
        <v>9</v>
      </c>
      <c r="DR8" s="276">
        <v>13</v>
      </c>
      <c r="DS8" s="276">
        <v>1</v>
      </c>
      <c r="DT8" s="276">
        <v>13</v>
      </c>
      <c r="DU8" s="276">
        <v>0</v>
      </c>
      <c r="DV8" s="276">
        <v>1</v>
      </c>
      <c r="DW8" s="276">
        <v>0</v>
      </c>
      <c r="DX8" s="276">
        <v>0</v>
      </c>
      <c r="DY8" s="276">
        <v>0</v>
      </c>
      <c r="DZ8" s="276">
        <v>9</v>
      </c>
      <c r="EA8" s="276">
        <v>9</v>
      </c>
      <c r="EB8" s="276">
        <v>4</v>
      </c>
      <c r="EC8" s="276">
        <v>10</v>
      </c>
      <c r="ED8" s="276">
        <v>11</v>
      </c>
      <c r="EE8" s="276">
        <v>7</v>
      </c>
      <c r="EF8" s="276">
        <v>8</v>
      </c>
      <c r="EG8" s="276">
        <v>10</v>
      </c>
      <c r="EH8" s="276">
        <v>6</v>
      </c>
      <c r="EI8" s="276">
        <v>2</v>
      </c>
      <c r="EJ8" s="276">
        <v>2</v>
      </c>
      <c r="EK8" s="276">
        <v>5</v>
      </c>
      <c r="EL8" s="276"/>
      <c r="EM8" s="276"/>
      <c r="EN8" s="276"/>
      <c r="EO8" s="276"/>
      <c r="EP8" s="276"/>
      <c r="EQ8" s="276"/>
      <c r="ER8" s="276"/>
      <c r="ES8" s="276"/>
      <c r="ET8" s="276"/>
      <c r="EU8" s="276"/>
      <c r="EV8" s="276"/>
      <c r="EW8" s="276"/>
      <c r="EX8" s="276"/>
      <c r="EY8" s="276"/>
      <c r="EZ8" s="276"/>
      <c r="FA8" s="276"/>
      <c r="FB8" s="276"/>
      <c r="FC8" s="276"/>
      <c r="FD8" s="276"/>
      <c r="FE8" s="276"/>
      <c r="FF8" s="276"/>
      <c r="FG8" s="276"/>
      <c r="FH8" s="276"/>
      <c r="FI8" s="276"/>
      <c r="FJ8" s="276"/>
      <c r="FK8" s="276"/>
      <c r="FL8" s="276"/>
      <c r="FM8" s="276"/>
      <c r="FN8" s="276"/>
      <c r="FO8" s="276"/>
      <c r="FP8" s="276"/>
      <c r="FQ8" s="276"/>
      <c r="FR8" s="276"/>
      <c r="FS8" s="276"/>
      <c r="FT8" s="276"/>
      <c r="FU8" s="276"/>
      <c r="FV8" s="276"/>
      <c r="FW8" s="276"/>
      <c r="FX8" s="276"/>
      <c r="FY8" s="276"/>
      <c r="FZ8" s="276"/>
      <c r="GA8" s="276"/>
      <c r="GB8" s="276"/>
      <c r="GC8" s="276"/>
      <c r="GD8" s="276"/>
      <c r="GE8" s="276"/>
      <c r="GF8" s="276"/>
      <c r="GG8" s="276"/>
      <c r="GH8" s="276"/>
      <c r="GI8" s="276"/>
      <c r="GJ8" s="276"/>
      <c r="GK8" s="276"/>
      <c r="GL8" s="276"/>
      <c r="GM8" s="276"/>
      <c r="GN8" s="276"/>
      <c r="GO8" s="276"/>
      <c r="GP8" s="276"/>
      <c r="GQ8" s="276"/>
      <c r="GR8" s="276"/>
      <c r="GS8" s="276"/>
      <c r="GT8" s="276"/>
      <c r="GU8" s="276"/>
      <c r="GV8" s="276"/>
      <c r="GW8" s="276"/>
      <c r="GX8" s="276"/>
      <c r="GY8" s="276"/>
      <c r="GZ8" s="276"/>
      <c r="HA8" s="276"/>
      <c r="HB8" s="276"/>
      <c r="HC8" s="276"/>
      <c r="HD8" s="276"/>
      <c r="HE8" s="276"/>
      <c r="HF8" s="276"/>
      <c r="HG8" s="276"/>
      <c r="HH8" s="276"/>
      <c r="HI8" s="276"/>
      <c r="HJ8" s="276"/>
      <c r="HK8" s="276"/>
      <c r="HL8" s="276"/>
      <c r="HM8" s="276"/>
      <c r="HN8" s="276"/>
      <c r="HO8" s="276"/>
      <c r="HP8" s="276"/>
      <c r="HQ8" s="276"/>
      <c r="HR8" s="276"/>
      <c r="HS8" s="276"/>
      <c r="HT8" s="276"/>
      <c r="HU8" s="276"/>
      <c r="HV8" s="276"/>
      <c r="HW8" s="276"/>
      <c r="HX8" s="276"/>
      <c r="HY8" s="276"/>
      <c r="HZ8" s="276"/>
      <c r="IA8" s="276"/>
      <c r="IB8" s="276"/>
      <c r="IC8" s="276"/>
      <c r="ID8" s="276"/>
      <c r="IE8" s="276"/>
      <c r="IF8" s="276"/>
      <c r="IG8" s="276"/>
      <c r="IH8" s="276"/>
      <c r="II8" s="276"/>
    </row>
    <row r="9" spans="1:243" ht="15">
      <c r="A9" s="276">
        <v>8</v>
      </c>
      <c r="B9" s="275" t="s">
        <v>267</v>
      </c>
      <c r="C9" s="292" t="s">
        <v>446</v>
      </c>
      <c r="D9" s="582">
        <f t="shared" si="6"/>
        <v>0</v>
      </c>
      <c r="E9" s="582">
        <f t="shared" si="66"/>
        <v>0</v>
      </c>
      <c r="F9" s="582">
        <f t="shared" si="67"/>
        <v>0</v>
      </c>
      <c r="G9" s="582">
        <f t="shared" si="68"/>
        <v>69</v>
      </c>
      <c r="H9" s="582">
        <f t="shared" si="69"/>
        <v>45</v>
      </c>
      <c r="I9" s="582">
        <f t="shared" si="70"/>
        <v>289</v>
      </c>
      <c r="J9" s="582">
        <f t="shared" si="71"/>
        <v>0</v>
      </c>
      <c r="K9" s="582">
        <f t="shared" si="72"/>
        <v>0</v>
      </c>
      <c r="L9" s="582">
        <f t="shared" si="73"/>
        <v>63</v>
      </c>
      <c r="M9" s="582">
        <f t="shared" si="74"/>
        <v>87</v>
      </c>
      <c r="N9" s="582">
        <f t="shared" si="75"/>
        <v>31</v>
      </c>
      <c r="O9" s="582">
        <f t="shared" si="76"/>
        <v>86</v>
      </c>
      <c r="P9" s="582">
        <f t="shared" si="77"/>
        <v>4</v>
      </c>
      <c r="Q9" s="582">
        <f t="shared" si="78"/>
        <v>0</v>
      </c>
      <c r="R9" s="582">
        <f t="shared" si="79"/>
        <v>0</v>
      </c>
      <c r="S9" s="582">
        <f t="shared" si="80"/>
        <v>0</v>
      </c>
      <c r="T9" s="582">
        <f t="shared" si="81"/>
        <v>0</v>
      </c>
      <c r="U9" s="582">
        <f t="shared" si="82"/>
        <v>0</v>
      </c>
      <c r="V9" s="582">
        <f t="shared" si="83"/>
        <v>0</v>
      </c>
      <c r="W9" s="582">
        <f t="shared" si="84"/>
        <v>0</v>
      </c>
      <c r="X9" s="582">
        <f t="shared" si="85"/>
        <v>0</v>
      </c>
      <c r="Y9" s="582">
        <f t="shared" si="86"/>
        <v>0</v>
      </c>
      <c r="Z9" s="582">
        <f t="shared" si="87"/>
        <v>0</v>
      </c>
      <c r="AA9" s="582">
        <f t="shared" si="88"/>
        <v>0</v>
      </c>
      <c r="AB9" s="582">
        <f t="shared" si="89"/>
        <v>0</v>
      </c>
      <c r="AC9" s="582">
        <f t="shared" si="90"/>
        <v>0</v>
      </c>
      <c r="AD9" s="582">
        <f t="shared" si="91"/>
        <v>0</v>
      </c>
      <c r="AE9" s="582">
        <f t="shared" si="92"/>
        <v>0</v>
      </c>
      <c r="AF9" s="582">
        <f t="shared" si="93"/>
        <v>0</v>
      </c>
      <c r="AG9" s="582">
        <f t="shared" si="94"/>
        <v>0</v>
      </c>
      <c r="AH9" s="582">
        <f t="shared" si="95"/>
        <v>0</v>
      </c>
      <c r="AI9" s="582">
        <f t="shared" si="96"/>
        <v>0</v>
      </c>
      <c r="AJ9" s="582">
        <f t="shared" si="97"/>
        <v>0</v>
      </c>
      <c r="AK9" s="582">
        <f t="shared" si="98"/>
        <v>67</v>
      </c>
      <c r="AL9" s="582">
        <f t="shared" si="99"/>
        <v>53</v>
      </c>
      <c r="AM9" s="582">
        <f t="shared" si="100"/>
        <v>272</v>
      </c>
      <c r="AN9" s="582">
        <f t="shared" si="101"/>
        <v>0</v>
      </c>
      <c r="AO9" s="582">
        <f t="shared" si="102"/>
        <v>0</v>
      </c>
      <c r="AP9" s="582">
        <f t="shared" si="103"/>
        <v>48</v>
      </c>
      <c r="AQ9" s="582">
        <f t="shared" si="104"/>
        <v>35</v>
      </c>
      <c r="AR9" s="582">
        <f t="shared" si="105"/>
        <v>4</v>
      </c>
      <c r="AS9" s="582">
        <f t="shared" si="106"/>
        <v>74</v>
      </c>
      <c r="AT9" s="582">
        <f t="shared" si="107"/>
        <v>2</v>
      </c>
      <c r="AU9" s="582">
        <f t="shared" si="108"/>
        <v>0</v>
      </c>
      <c r="AV9" s="582">
        <f t="shared" si="109"/>
        <v>0</v>
      </c>
      <c r="AW9" s="582">
        <f t="shared" si="110"/>
        <v>0</v>
      </c>
      <c r="AX9" s="582">
        <f t="shared" si="111"/>
        <v>0</v>
      </c>
      <c r="AY9" s="582">
        <f t="shared" si="112"/>
        <v>0</v>
      </c>
      <c r="AZ9" s="582">
        <f t="shared" si="113"/>
        <v>0</v>
      </c>
      <c r="BA9" s="582">
        <f t="shared" si="114"/>
        <v>0</v>
      </c>
      <c r="BB9" s="582">
        <f t="shared" si="115"/>
        <v>0</v>
      </c>
      <c r="BC9" s="582">
        <f t="shared" si="116"/>
        <v>0</v>
      </c>
      <c r="BD9" s="582">
        <f t="shared" si="117"/>
        <v>0</v>
      </c>
      <c r="BE9" s="582">
        <f t="shared" si="118"/>
        <v>0</v>
      </c>
      <c r="BF9" s="582">
        <f t="shared" si="119"/>
        <v>0</v>
      </c>
      <c r="BG9" s="582">
        <f t="shared" si="120"/>
        <v>0</v>
      </c>
      <c r="BH9" s="582">
        <f t="shared" si="121"/>
        <v>0</v>
      </c>
      <c r="BI9" s="582">
        <f t="shared" si="122"/>
        <v>0</v>
      </c>
      <c r="BJ9" s="582">
        <f t="shared" si="123"/>
        <v>0</v>
      </c>
      <c r="BK9" s="582">
        <f t="shared" si="124"/>
        <v>0</v>
      </c>
      <c r="BL9" s="276"/>
      <c r="BM9" s="276"/>
      <c r="BN9" s="276"/>
      <c r="BO9" s="276"/>
      <c r="BP9" s="276"/>
      <c r="BQ9" s="276"/>
      <c r="BR9" s="276"/>
      <c r="BS9" s="276"/>
      <c r="BT9" s="276"/>
      <c r="BU9" s="276"/>
      <c r="BV9" s="276"/>
      <c r="BW9" s="276"/>
      <c r="BX9" s="92"/>
      <c r="BY9" s="92"/>
      <c r="BZ9" s="92"/>
      <c r="CA9" s="92"/>
      <c r="CB9" s="92"/>
      <c r="CC9" s="92"/>
      <c r="CD9" s="92">
        <v>27</v>
      </c>
      <c r="CE9" s="92">
        <v>22</v>
      </c>
      <c r="CF9" s="92">
        <v>20</v>
      </c>
      <c r="CG9" s="92">
        <v>24</v>
      </c>
      <c r="CH9" s="92">
        <v>16</v>
      </c>
      <c r="CI9" s="92">
        <v>27</v>
      </c>
      <c r="CJ9" s="92">
        <v>11</v>
      </c>
      <c r="CK9" s="92">
        <v>13</v>
      </c>
      <c r="CL9" s="92">
        <v>21</v>
      </c>
      <c r="CM9" s="92">
        <v>21</v>
      </c>
      <c r="CN9" s="92">
        <v>18</v>
      </c>
      <c r="CO9" s="92">
        <v>14</v>
      </c>
      <c r="CP9" s="92">
        <v>78</v>
      </c>
      <c r="CQ9" s="92">
        <v>116</v>
      </c>
      <c r="CR9" s="92">
        <v>95</v>
      </c>
      <c r="CS9" s="92">
        <v>80</v>
      </c>
      <c r="CT9" s="92">
        <v>99</v>
      </c>
      <c r="CU9" s="92">
        <v>93</v>
      </c>
      <c r="CV9" s="92"/>
      <c r="CW9" s="92"/>
      <c r="CX9" s="92"/>
      <c r="CY9" s="92"/>
      <c r="CZ9" s="92"/>
      <c r="DA9" s="92"/>
      <c r="DB9" s="92"/>
      <c r="DC9" s="92"/>
      <c r="DD9" s="92"/>
      <c r="DE9" s="92"/>
      <c r="DF9" s="92"/>
      <c r="DG9" s="92"/>
      <c r="DH9" s="92">
        <v>21</v>
      </c>
      <c r="DI9" s="92">
        <v>17</v>
      </c>
      <c r="DJ9" s="92">
        <v>25</v>
      </c>
      <c r="DK9" s="92">
        <v>17</v>
      </c>
      <c r="DL9" s="92">
        <v>16</v>
      </c>
      <c r="DM9" s="92">
        <v>15</v>
      </c>
      <c r="DN9" s="92">
        <v>24</v>
      </c>
      <c r="DO9" s="92">
        <v>37</v>
      </c>
      <c r="DP9" s="92">
        <v>26</v>
      </c>
      <c r="DQ9" s="92">
        <v>15</v>
      </c>
      <c r="DR9" s="92">
        <v>19</v>
      </c>
      <c r="DS9" s="92">
        <v>1</v>
      </c>
      <c r="DT9" s="92">
        <v>21</v>
      </c>
      <c r="DU9" s="92">
        <v>9</v>
      </c>
      <c r="DV9" s="92">
        <v>1</v>
      </c>
      <c r="DW9" s="92">
        <v>2</v>
      </c>
      <c r="DX9" s="92">
        <v>0</v>
      </c>
      <c r="DY9" s="92">
        <v>2</v>
      </c>
      <c r="DZ9" s="276">
        <v>26</v>
      </c>
      <c r="EA9" s="276">
        <v>23</v>
      </c>
      <c r="EB9" s="276">
        <v>37</v>
      </c>
      <c r="EC9" s="92">
        <v>25</v>
      </c>
      <c r="ED9" s="92">
        <v>20</v>
      </c>
      <c r="EE9" s="92">
        <v>29</v>
      </c>
      <c r="EF9" s="92">
        <v>2</v>
      </c>
      <c r="EG9" s="92">
        <v>0</v>
      </c>
      <c r="EH9" s="92">
        <v>2</v>
      </c>
      <c r="EI9" s="92">
        <v>0</v>
      </c>
      <c r="EJ9" s="92">
        <v>1</v>
      </c>
      <c r="EK9" s="92">
        <v>1</v>
      </c>
      <c r="EL9" s="92"/>
      <c r="EM9" s="92"/>
      <c r="EN9" s="92"/>
      <c r="EO9" s="92"/>
      <c r="EP9" s="92"/>
      <c r="EQ9" s="92"/>
      <c r="ER9" s="276"/>
      <c r="ES9" s="276"/>
      <c r="ET9" s="92"/>
      <c r="EU9" s="92"/>
      <c r="EV9" s="92"/>
      <c r="EW9" s="92"/>
      <c r="EX9" s="92"/>
      <c r="EY9" s="92"/>
      <c r="EZ9" s="92"/>
      <c r="FA9" s="92"/>
      <c r="FB9" s="92"/>
      <c r="FC9" s="92"/>
      <c r="FD9" s="92"/>
      <c r="FE9" s="92"/>
      <c r="FF9" s="92"/>
      <c r="FG9" s="92"/>
      <c r="FH9" s="92"/>
      <c r="FI9" s="92"/>
      <c r="FJ9" s="92"/>
      <c r="FK9" s="92"/>
      <c r="FL9" s="92"/>
      <c r="FM9" s="92"/>
      <c r="FN9" s="92"/>
      <c r="FO9" s="92"/>
      <c r="FP9" s="92"/>
      <c r="FQ9" s="92"/>
      <c r="FR9" s="92"/>
      <c r="FS9" s="92"/>
      <c r="FT9" s="92"/>
      <c r="FU9" s="92"/>
      <c r="FV9" s="92"/>
      <c r="FW9" s="92"/>
      <c r="FX9" s="92"/>
      <c r="FY9" s="92"/>
      <c r="FZ9" s="92"/>
      <c r="GA9" s="92"/>
      <c r="GB9" s="92"/>
      <c r="GC9" s="92"/>
      <c r="GD9" s="92"/>
      <c r="GE9" s="92"/>
      <c r="GF9" s="92"/>
      <c r="GG9" s="92"/>
      <c r="GH9" s="92"/>
      <c r="GI9" s="92"/>
      <c r="GJ9" s="92"/>
      <c r="GK9" s="92"/>
      <c r="GL9" s="92"/>
      <c r="GM9" s="92"/>
      <c r="GN9" s="92"/>
      <c r="GO9" s="92"/>
      <c r="GP9" s="92"/>
      <c r="GQ9" s="92"/>
      <c r="GR9" s="92"/>
      <c r="GS9" s="92"/>
      <c r="GT9" s="92"/>
      <c r="GU9" s="92"/>
      <c r="GV9" s="92"/>
      <c r="GW9" s="92"/>
      <c r="GX9" s="92"/>
      <c r="GY9" s="92"/>
      <c r="GZ9" s="92"/>
      <c r="HA9" s="92"/>
      <c r="HB9" s="92"/>
      <c r="HC9" s="92"/>
      <c r="HD9" s="92"/>
      <c r="HE9" s="92"/>
      <c r="HF9" s="92"/>
      <c r="HG9" s="92"/>
      <c r="HH9" s="92"/>
      <c r="HI9" s="92"/>
      <c r="HJ9" s="92"/>
      <c r="HK9" s="92"/>
      <c r="HL9" s="92"/>
      <c r="HM9" s="92"/>
      <c r="HN9" s="92"/>
      <c r="HO9" s="92"/>
      <c r="HP9" s="92"/>
      <c r="HQ9" s="92"/>
      <c r="HR9" s="92"/>
      <c r="HS9" s="92"/>
      <c r="HT9" s="92"/>
      <c r="HU9" s="92"/>
      <c r="HV9" s="92"/>
      <c r="HW9" s="92"/>
      <c r="HX9" s="92"/>
      <c r="HY9" s="92"/>
      <c r="HZ9" s="92"/>
      <c r="IA9" s="92"/>
      <c r="IB9" s="92"/>
      <c r="IC9" s="92"/>
      <c r="ID9" s="92"/>
      <c r="IE9" s="92"/>
      <c r="IF9" s="92"/>
      <c r="IG9" s="92"/>
      <c r="IH9" s="92"/>
      <c r="II9" s="92"/>
    </row>
    <row r="10" spans="1:243" ht="15">
      <c r="A10" s="276">
        <v>9</v>
      </c>
      <c r="B10" s="275" t="s">
        <v>267</v>
      </c>
      <c r="C10" s="292" t="s">
        <v>501</v>
      </c>
      <c r="D10" s="582">
        <f t="shared" si="6"/>
        <v>0</v>
      </c>
      <c r="E10" s="582">
        <f t="shared" si="66"/>
        <v>0</v>
      </c>
      <c r="F10" s="582">
        <f t="shared" si="67"/>
        <v>0</v>
      </c>
      <c r="G10" s="582">
        <f t="shared" si="68"/>
        <v>35</v>
      </c>
      <c r="H10" s="582">
        <f t="shared" si="69"/>
        <v>19</v>
      </c>
      <c r="I10" s="582">
        <f t="shared" si="70"/>
        <v>165</v>
      </c>
      <c r="J10" s="582">
        <f t="shared" si="71"/>
        <v>0</v>
      </c>
      <c r="K10" s="582">
        <f t="shared" si="72"/>
        <v>0</v>
      </c>
      <c r="L10" s="582">
        <f t="shared" si="73"/>
        <v>11</v>
      </c>
      <c r="M10" s="582">
        <f t="shared" si="74"/>
        <v>37</v>
      </c>
      <c r="N10" s="582">
        <f t="shared" si="75"/>
        <v>18</v>
      </c>
      <c r="O10" s="582">
        <f t="shared" si="76"/>
        <v>41</v>
      </c>
      <c r="P10" s="582">
        <f t="shared" si="77"/>
        <v>10</v>
      </c>
      <c r="Q10" s="582">
        <f t="shared" si="78"/>
        <v>0</v>
      </c>
      <c r="R10" s="582">
        <f t="shared" si="79"/>
        <v>0</v>
      </c>
      <c r="S10" s="582">
        <f t="shared" si="80"/>
        <v>0</v>
      </c>
      <c r="T10" s="582">
        <f t="shared" si="81"/>
        <v>0</v>
      </c>
      <c r="U10" s="582">
        <f t="shared" si="82"/>
        <v>0</v>
      </c>
      <c r="V10" s="582">
        <f t="shared" si="83"/>
        <v>0</v>
      </c>
      <c r="W10" s="582">
        <f t="shared" si="84"/>
        <v>0</v>
      </c>
      <c r="X10" s="582">
        <f t="shared" si="85"/>
        <v>0</v>
      </c>
      <c r="Y10" s="582">
        <f t="shared" si="86"/>
        <v>0</v>
      </c>
      <c r="Z10" s="582">
        <f t="shared" si="87"/>
        <v>0</v>
      </c>
      <c r="AA10" s="582">
        <f t="shared" si="88"/>
        <v>0</v>
      </c>
      <c r="AB10" s="582">
        <f t="shared" si="89"/>
        <v>0</v>
      </c>
      <c r="AC10" s="582">
        <f t="shared" si="90"/>
        <v>0</v>
      </c>
      <c r="AD10" s="582">
        <f t="shared" si="91"/>
        <v>0</v>
      </c>
      <c r="AE10" s="582">
        <f t="shared" si="92"/>
        <v>0</v>
      </c>
      <c r="AF10" s="582">
        <f t="shared" si="93"/>
        <v>0</v>
      </c>
      <c r="AG10" s="582">
        <f t="shared" si="94"/>
        <v>0</v>
      </c>
      <c r="AH10" s="582">
        <f t="shared" si="95"/>
        <v>0</v>
      </c>
      <c r="AI10" s="582">
        <f t="shared" si="96"/>
        <v>0</v>
      </c>
      <c r="AJ10" s="582">
        <f t="shared" si="97"/>
        <v>0</v>
      </c>
      <c r="AK10" s="582">
        <f t="shared" si="98"/>
        <v>27</v>
      </c>
      <c r="AL10" s="582">
        <f t="shared" si="99"/>
        <v>26</v>
      </c>
      <c r="AM10" s="582">
        <f t="shared" si="100"/>
        <v>118</v>
      </c>
      <c r="AN10" s="582">
        <f t="shared" si="101"/>
        <v>0</v>
      </c>
      <c r="AO10" s="582">
        <f t="shared" si="102"/>
        <v>0</v>
      </c>
      <c r="AP10" s="582">
        <f t="shared" si="103"/>
        <v>7</v>
      </c>
      <c r="AQ10" s="582">
        <f t="shared" si="104"/>
        <v>15</v>
      </c>
      <c r="AR10" s="582">
        <f t="shared" si="105"/>
        <v>0</v>
      </c>
      <c r="AS10" s="582">
        <f t="shared" si="106"/>
        <v>26</v>
      </c>
      <c r="AT10" s="582">
        <f t="shared" si="107"/>
        <v>6</v>
      </c>
      <c r="AU10" s="582">
        <f t="shared" si="108"/>
        <v>0</v>
      </c>
      <c r="AV10" s="582">
        <f t="shared" si="109"/>
        <v>0</v>
      </c>
      <c r="AW10" s="582">
        <f t="shared" si="110"/>
        <v>0</v>
      </c>
      <c r="AX10" s="582">
        <f t="shared" si="111"/>
        <v>0</v>
      </c>
      <c r="AY10" s="582">
        <f t="shared" si="112"/>
        <v>0</v>
      </c>
      <c r="AZ10" s="582">
        <f t="shared" si="113"/>
        <v>0</v>
      </c>
      <c r="BA10" s="582">
        <f t="shared" si="114"/>
        <v>0</v>
      </c>
      <c r="BB10" s="582">
        <f t="shared" si="115"/>
        <v>0</v>
      </c>
      <c r="BC10" s="582">
        <f t="shared" si="116"/>
        <v>0</v>
      </c>
      <c r="BD10" s="582">
        <f t="shared" si="117"/>
        <v>0</v>
      </c>
      <c r="BE10" s="582">
        <f t="shared" si="118"/>
        <v>0</v>
      </c>
      <c r="BF10" s="582">
        <f t="shared" si="119"/>
        <v>0</v>
      </c>
      <c r="BG10" s="582">
        <f t="shared" si="120"/>
        <v>0</v>
      </c>
      <c r="BH10" s="582">
        <f t="shared" si="121"/>
        <v>0</v>
      </c>
      <c r="BI10" s="582">
        <f t="shared" si="122"/>
        <v>0</v>
      </c>
      <c r="BJ10" s="582">
        <f t="shared" si="123"/>
        <v>0</v>
      </c>
      <c r="BK10" s="582">
        <f t="shared" si="124"/>
        <v>0</v>
      </c>
      <c r="BL10" s="276"/>
      <c r="BM10" s="276"/>
      <c r="BN10" s="276"/>
      <c r="BO10" s="276"/>
      <c r="BP10" s="276"/>
      <c r="BQ10" s="276"/>
      <c r="BR10" s="276"/>
      <c r="BS10" s="276"/>
      <c r="BT10" s="276"/>
      <c r="BU10" s="276"/>
      <c r="BV10" s="276"/>
      <c r="BW10" s="276"/>
      <c r="BX10" s="92"/>
      <c r="BY10" s="92"/>
      <c r="BZ10" s="92"/>
      <c r="CA10" s="92"/>
      <c r="CB10" s="92"/>
      <c r="CC10" s="92"/>
      <c r="CD10" s="92">
        <v>15</v>
      </c>
      <c r="CE10" s="92">
        <v>13</v>
      </c>
      <c r="CF10" s="92">
        <v>7</v>
      </c>
      <c r="CG10" s="92">
        <v>11</v>
      </c>
      <c r="CH10" s="92">
        <v>9</v>
      </c>
      <c r="CI10" s="92">
        <v>7</v>
      </c>
      <c r="CJ10" s="92">
        <v>5</v>
      </c>
      <c r="CK10" s="92">
        <v>3</v>
      </c>
      <c r="CL10" s="92">
        <v>11</v>
      </c>
      <c r="CM10" s="92">
        <v>10</v>
      </c>
      <c r="CN10" s="92">
        <v>8</v>
      </c>
      <c r="CO10" s="92">
        <v>8</v>
      </c>
      <c r="CP10" s="92">
        <v>56</v>
      </c>
      <c r="CQ10" s="92">
        <v>60</v>
      </c>
      <c r="CR10" s="92">
        <v>49</v>
      </c>
      <c r="CS10" s="92">
        <v>42</v>
      </c>
      <c r="CT10" s="92">
        <v>48</v>
      </c>
      <c r="CU10" s="92">
        <v>28</v>
      </c>
      <c r="CV10" s="92"/>
      <c r="CW10" s="92"/>
      <c r="CX10" s="92"/>
      <c r="CY10" s="92"/>
      <c r="CZ10" s="92"/>
      <c r="DA10" s="92"/>
      <c r="DB10" s="92"/>
      <c r="DC10" s="92"/>
      <c r="DD10" s="92"/>
      <c r="DE10" s="92"/>
      <c r="DF10" s="92"/>
      <c r="DG10" s="92"/>
      <c r="DH10" s="92">
        <v>6</v>
      </c>
      <c r="DI10" s="92">
        <v>0</v>
      </c>
      <c r="DJ10" s="92">
        <v>5</v>
      </c>
      <c r="DK10" s="92">
        <v>1</v>
      </c>
      <c r="DL10" s="92">
        <v>3</v>
      </c>
      <c r="DM10" s="92">
        <v>3</v>
      </c>
      <c r="DN10" s="92">
        <v>12</v>
      </c>
      <c r="DO10" s="92">
        <v>10</v>
      </c>
      <c r="DP10" s="92">
        <v>15</v>
      </c>
      <c r="DQ10" s="92">
        <v>12</v>
      </c>
      <c r="DR10" s="92">
        <v>3</v>
      </c>
      <c r="DS10" s="92">
        <v>0</v>
      </c>
      <c r="DT10" s="92">
        <v>14</v>
      </c>
      <c r="DU10" s="92">
        <v>1</v>
      </c>
      <c r="DV10" s="92">
        <v>3</v>
      </c>
      <c r="DW10" s="92">
        <v>0</v>
      </c>
      <c r="DX10" s="92">
        <v>0</v>
      </c>
      <c r="DY10" s="92">
        <v>0</v>
      </c>
      <c r="DZ10" s="276">
        <v>5</v>
      </c>
      <c r="EA10" s="276">
        <v>21</v>
      </c>
      <c r="EB10" s="276">
        <v>15</v>
      </c>
      <c r="EC10" s="92">
        <v>8</v>
      </c>
      <c r="ED10" s="92">
        <v>8</v>
      </c>
      <c r="EE10" s="92">
        <v>10</v>
      </c>
      <c r="EF10" s="92">
        <v>6</v>
      </c>
      <c r="EG10" s="92">
        <v>2</v>
      </c>
      <c r="EH10" s="92">
        <v>2</v>
      </c>
      <c r="EI10" s="92">
        <v>3</v>
      </c>
      <c r="EJ10" s="92">
        <v>1</v>
      </c>
      <c r="EK10" s="92">
        <v>2</v>
      </c>
      <c r="EL10" s="92"/>
      <c r="EM10" s="92"/>
      <c r="EN10" s="92"/>
      <c r="EO10" s="92"/>
      <c r="EP10" s="92"/>
      <c r="EQ10" s="92"/>
      <c r="ER10" s="276"/>
      <c r="ES10" s="276"/>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2"/>
      <c r="FZ10" s="92"/>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2"/>
      <c r="HS10" s="92"/>
      <c r="HT10" s="92"/>
      <c r="HU10" s="92"/>
      <c r="HV10" s="92"/>
      <c r="HW10" s="92"/>
      <c r="HX10" s="92"/>
      <c r="HY10" s="92"/>
      <c r="HZ10" s="92"/>
      <c r="IA10" s="92"/>
      <c r="IB10" s="92"/>
      <c r="IC10" s="92"/>
      <c r="ID10" s="92"/>
      <c r="IE10" s="92"/>
      <c r="IF10" s="92"/>
      <c r="IG10" s="92"/>
      <c r="IH10" s="92"/>
      <c r="II10" s="92"/>
    </row>
    <row r="11" spans="1:243" ht="15">
      <c r="A11" s="276">
        <v>10</v>
      </c>
      <c r="B11" s="275" t="s">
        <v>267</v>
      </c>
      <c r="C11" s="292" t="s">
        <v>441</v>
      </c>
      <c r="D11" s="582">
        <f t="shared" si="6"/>
        <v>0</v>
      </c>
      <c r="E11" s="582">
        <f t="shared" si="66"/>
        <v>0</v>
      </c>
      <c r="F11" s="582">
        <f t="shared" si="67"/>
        <v>0</v>
      </c>
      <c r="G11" s="582">
        <f t="shared" si="68"/>
        <v>15</v>
      </c>
      <c r="H11" s="582">
        <f t="shared" si="69"/>
        <v>13</v>
      </c>
      <c r="I11" s="582">
        <f t="shared" si="70"/>
        <v>113</v>
      </c>
      <c r="J11" s="582">
        <f t="shared" si="71"/>
        <v>0</v>
      </c>
      <c r="K11" s="582">
        <f t="shared" si="72"/>
        <v>0</v>
      </c>
      <c r="L11" s="582">
        <f t="shared" si="73"/>
        <v>16</v>
      </c>
      <c r="M11" s="582">
        <f t="shared" si="74"/>
        <v>37</v>
      </c>
      <c r="N11" s="582">
        <f t="shared" si="75"/>
        <v>11</v>
      </c>
      <c r="O11" s="582">
        <f t="shared" si="76"/>
        <v>27</v>
      </c>
      <c r="P11" s="582">
        <f t="shared" si="77"/>
        <v>11</v>
      </c>
      <c r="Q11" s="582">
        <f t="shared" si="78"/>
        <v>0</v>
      </c>
      <c r="R11" s="582">
        <f t="shared" si="79"/>
        <v>0</v>
      </c>
      <c r="S11" s="582">
        <f t="shared" si="80"/>
        <v>0</v>
      </c>
      <c r="T11" s="582">
        <f t="shared" si="81"/>
        <v>0</v>
      </c>
      <c r="U11" s="582">
        <f t="shared" si="82"/>
        <v>0</v>
      </c>
      <c r="V11" s="582">
        <f t="shared" si="83"/>
        <v>0</v>
      </c>
      <c r="W11" s="582">
        <f t="shared" si="84"/>
        <v>0</v>
      </c>
      <c r="X11" s="582">
        <f t="shared" si="85"/>
        <v>0</v>
      </c>
      <c r="Y11" s="582">
        <f t="shared" si="86"/>
        <v>0</v>
      </c>
      <c r="Z11" s="582">
        <f t="shared" si="87"/>
        <v>0</v>
      </c>
      <c r="AA11" s="582">
        <f t="shared" si="88"/>
        <v>0</v>
      </c>
      <c r="AB11" s="582">
        <f t="shared" si="89"/>
        <v>0</v>
      </c>
      <c r="AC11" s="582">
        <f t="shared" si="90"/>
        <v>0</v>
      </c>
      <c r="AD11" s="582">
        <f t="shared" si="91"/>
        <v>0</v>
      </c>
      <c r="AE11" s="582">
        <f t="shared" si="92"/>
        <v>0</v>
      </c>
      <c r="AF11" s="582">
        <f t="shared" si="93"/>
        <v>0</v>
      </c>
      <c r="AG11" s="582">
        <f t="shared" si="94"/>
        <v>0</v>
      </c>
      <c r="AH11" s="582">
        <f t="shared" si="95"/>
        <v>0</v>
      </c>
      <c r="AI11" s="582">
        <f t="shared" si="96"/>
        <v>0</v>
      </c>
      <c r="AJ11" s="582">
        <f t="shared" si="97"/>
        <v>0</v>
      </c>
      <c r="AK11" s="582">
        <f t="shared" si="98"/>
        <v>13</v>
      </c>
      <c r="AL11" s="582">
        <f t="shared" si="99"/>
        <v>5</v>
      </c>
      <c r="AM11" s="582">
        <f t="shared" si="100"/>
        <v>88</v>
      </c>
      <c r="AN11" s="582">
        <f t="shared" si="101"/>
        <v>0</v>
      </c>
      <c r="AO11" s="582">
        <f t="shared" si="102"/>
        <v>0</v>
      </c>
      <c r="AP11" s="582">
        <f t="shared" si="103"/>
        <v>18</v>
      </c>
      <c r="AQ11" s="582">
        <f t="shared" si="104"/>
        <v>23</v>
      </c>
      <c r="AR11" s="582">
        <f t="shared" si="105"/>
        <v>3</v>
      </c>
      <c r="AS11" s="582">
        <f t="shared" si="106"/>
        <v>23</v>
      </c>
      <c r="AT11" s="582">
        <f t="shared" si="107"/>
        <v>4</v>
      </c>
      <c r="AU11" s="582">
        <f t="shared" si="108"/>
        <v>0</v>
      </c>
      <c r="AV11" s="582">
        <f t="shared" si="109"/>
        <v>0</v>
      </c>
      <c r="AW11" s="582">
        <f t="shared" si="110"/>
        <v>0</v>
      </c>
      <c r="AX11" s="582">
        <f t="shared" si="111"/>
        <v>0</v>
      </c>
      <c r="AY11" s="582">
        <f t="shared" si="112"/>
        <v>0</v>
      </c>
      <c r="AZ11" s="582">
        <f t="shared" si="113"/>
        <v>0</v>
      </c>
      <c r="BA11" s="582">
        <f t="shared" si="114"/>
        <v>0</v>
      </c>
      <c r="BB11" s="582">
        <f t="shared" si="115"/>
        <v>0</v>
      </c>
      <c r="BC11" s="582">
        <f t="shared" si="116"/>
        <v>0</v>
      </c>
      <c r="BD11" s="582">
        <f t="shared" si="117"/>
        <v>0</v>
      </c>
      <c r="BE11" s="582">
        <f t="shared" si="118"/>
        <v>0</v>
      </c>
      <c r="BF11" s="582">
        <f t="shared" si="119"/>
        <v>0</v>
      </c>
      <c r="BG11" s="582">
        <f t="shared" si="120"/>
        <v>0</v>
      </c>
      <c r="BH11" s="582">
        <f t="shared" si="121"/>
        <v>0</v>
      </c>
      <c r="BI11" s="582">
        <f t="shared" si="122"/>
        <v>0</v>
      </c>
      <c r="BJ11" s="582">
        <f t="shared" si="123"/>
        <v>0</v>
      </c>
      <c r="BK11" s="582">
        <f t="shared" si="124"/>
        <v>0</v>
      </c>
      <c r="BL11" s="276"/>
      <c r="BM11" s="276"/>
      <c r="BN11" s="276"/>
      <c r="BO11" s="276"/>
      <c r="BP11" s="276"/>
      <c r="BQ11" s="276"/>
      <c r="BR11" s="276"/>
      <c r="BS11" s="276"/>
      <c r="BT11" s="276"/>
      <c r="BU11" s="276"/>
      <c r="BV11" s="276"/>
      <c r="BW11" s="276"/>
      <c r="BX11" s="92"/>
      <c r="BY11" s="92"/>
      <c r="BZ11" s="92"/>
      <c r="CA11" s="92"/>
      <c r="CB11" s="92"/>
      <c r="CC11" s="92"/>
      <c r="CD11" s="92">
        <v>3</v>
      </c>
      <c r="CE11" s="92">
        <v>7</v>
      </c>
      <c r="CF11" s="92">
        <v>5</v>
      </c>
      <c r="CG11" s="92">
        <v>6</v>
      </c>
      <c r="CH11" s="92">
        <v>3</v>
      </c>
      <c r="CI11" s="92">
        <v>4</v>
      </c>
      <c r="CJ11" s="92">
        <v>4</v>
      </c>
      <c r="CK11" s="92">
        <v>6</v>
      </c>
      <c r="CL11" s="92">
        <v>3</v>
      </c>
      <c r="CM11" s="92"/>
      <c r="CN11" s="92">
        <v>2</v>
      </c>
      <c r="CO11" s="92">
        <v>3</v>
      </c>
      <c r="CP11" s="92">
        <v>38</v>
      </c>
      <c r="CQ11" s="92">
        <v>40</v>
      </c>
      <c r="CR11" s="92">
        <v>35</v>
      </c>
      <c r="CS11" s="92">
        <v>32</v>
      </c>
      <c r="CT11" s="92">
        <v>30</v>
      </c>
      <c r="CU11" s="92">
        <v>26</v>
      </c>
      <c r="CV11" s="92"/>
      <c r="CW11" s="92"/>
      <c r="CX11" s="92"/>
      <c r="CY11" s="92"/>
      <c r="CZ11" s="92"/>
      <c r="DA11" s="92"/>
      <c r="DB11" s="92"/>
      <c r="DC11" s="92"/>
      <c r="DD11" s="92"/>
      <c r="DE11" s="92"/>
      <c r="DF11" s="92"/>
      <c r="DG11" s="92"/>
      <c r="DH11" s="92">
        <v>7</v>
      </c>
      <c r="DI11" s="92">
        <v>5</v>
      </c>
      <c r="DJ11" s="92">
        <v>4</v>
      </c>
      <c r="DK11" s="92">
        <v>6</v>
      </c>
      <c r="DL11" s="92">
        <v>7</v>
      </c>
      <c r="DM11" s="92">
        <v>5</v>
      </c>
      <c r="DN11" s="92">
        <v>15</v>
      </c>
      <c r="DO11" s="92">
        <v>10</v>
      </c>
      <c r="DP11" s="92">
        <v>12</v>
      </c>
      <c r="DQ11" s="92">
        <v>14</v>
      </c>
      <c r="DR11" s="92">
        <v>9</v>
      </c>
      <c r="DS11" s="92">
        <v>0</v>
      </c>
      <c r="DT11" s="92">
        <v>7</v>
      </c>
      <c r="DU11" s="92">
        <v>2</v>
      </c>
      <c r="DV11" s="92">
        <v>2</v>
      </c>
      <c r="DW11" s="92">
        <v>3</v>
      </c>
      <c r="DX11" s="92">
        <v>0</v>
      </c>
      <c r="DY11" s="92">
        <v>0</v>
      </c>
      <c r="DZ11" s="276">
        <v>4</v>
      </c>
      <c r="EA11" s="276">
        <v>9</v>
      </c>
      <c r="EB11" s="276">
        <v>14</v>
      </c>
      <c r="EC11" s="92">
        <v>4</v>
      </c>
      <c r="ED11" s="92">
        <v>12</v>
      </c>
      <c r="EE11" s="92">
        <v>7</v>
      </c>
      <c r="EF11" s="92">
        <v>3</v>
      </c>
      <c r="EG11" s="92">
        <v>4</v>
      </c>
      <c r="EH11" s="92">
        <v>4</v>
      </c>
      <c r="EI11" s="92">
        <v>3</v>
      </c>
      <c r="EJ11" s="92">
        <v>1</v>
      </c>
      <c r="EK11" s="92">
        <v>0</v>
      </c>
      <c r="EL11" s="92"/>
      <c r="EM11" s="92"/>
      <c r="EN11" s="92"/>
      <c r="EO11" s="92"/>
      <c r="EP11" s="92"/>
      <c r="EQ11" s="92"/>
      <c r="ER11" s="276"/>
      <c r="ES11" s="276"/>
      <c r="ET11" s="92"/>
      <c r="EU11" s="92"/>
      <c r="EV11" s="92"/>
      <c r="EW11" s="92"/>
      <c r="EX11" s="92"/>
      <c r="EY11" s="92"/>
      <c r="EZ11" s="92"/>
      <c r="FA11" s="92"/>
      <c r="FB11" s="92"/>
      <c r="FC11" s="92"/>
      <c r="FD11" s="92"/>
      <c r="FE11" s="92"/>
      <c r="FF11" s="92"/>
      <c r="FG11" s="92"/>
      <c r="FH11" s="92"/>
      <c r="FI11" s="92"/>
      <c r="FJ11" s="92"/>
      <c r="FK11" s="92"/>
      <c r="FL11" s="92"/>
      <c r="FM11" s="92"/>
      <c r="FN11" s="92"/>
      <c r="FO11" s="92"/>
      <c r="FP11" s="92"/>
      <c r="FQ11" s="92"/>
      <c r="FR11" s="92"/>
      <c r="FS11" s="92"/>
      <c r="FT11" s="92"/>
      <c r="FU11" s="92"/>
      <c r="FV11" s="92"/>
      <c r="FW11" s="92"/>
      <c r="FX11" s="92"/>
      <c r="FY11" s="92"/>
      <c r="FZ11" s="92"/>
      <c r="GA11" s="92"/>
      <c r="GB11" s="92"/>
      <c r="GC11" s="92"/>
      <c r="GD11" s="92"/>
      <c r="GE11" s="92"/>
      <c r="GF11" s="92"/>
      <c r="GG11" s="92"/>
      <c r="GH11" s="92"/>
      <c r="GI11" s="92"/>
      <c r="GJ11" s="92"/>
      <c r="GK11" s="92"/>
      <c r="GL11" s="92"/>
      <c r="GM11" s="92"/>
      <c r="GN11" s="92"/>
      <c r="GO11" s="92"/>
      <c r="GP11" s="92"/>
      <c r="GQ11" s="92"/>
      <c r="GR11" s="92"/>
      <c r="GS11" s="92"/>
      <c r="GT11" s="92"/>
      <c r="GU11" s="92"/>
      <c r="GV11" s="92"/>
      <c r="GW11" s="92"/>
      <c r="GX11" s="92"/>
      <c r="GY11" s="92"/>
      <c r="GZ11" s="92"/>
      <c r="HA11" s="92"/>
      <c r="HB11" s="92"/>
      <c r="HC11" s="92"/>
      <c r="HD11" s="92"/>
      <c r="HE11" s="92"/>
      <c r="HF11" s="92"/>
      <c r="HG11" s="92"/>
      <c r="HH11" s="92"/>
      <c r="HI11" s="92"/>
      <c r="HJ11" s="92"/>
      <c r="HK11" s="92"/>
      <c r="HL11" s="92"/>
      <c r="HM11" s="92"/>
      <c r="HN11" s="92"/>
      <c r="HO11" s="92"/>
      <c r="HP11" s="92"/>
      <c r="HQ11" s="92"/>
      <c r="HR11" s="92"/>
      <c r="HS11" s="92"/>
      <c r="HT11" s="92"/>
      <c r="HU11" s="92"/>
      <c r="HV11" s="92"/>
      <c r="HW11" s="92"/>
      <c r="HX11" s="92"/>
      <c r="HY11" s="92"/>
      <c r="HZ11" s="92"/>
      <c r="IA11" s="92"/>
      <c r="IB11" s="92"/>
      <c r="IC11" s="92"/>
      <c r="ID11" s="92"/>
      <c r="IE11" s="92"/>
      <c r="IF11" s="92"/>
      <c r="IG11" s="92"/>
      <c r="IH11" s="92"/>
      <c r="II11" s="92"/>
    </row>
    <row r="12" spans="1:243" ht="15">
      <c r="A12" s="276">
        <v>11</v>
      </c>
      <c r="B12" s="275" t="s">
        <v>267</v>
      </c>
      <c r="C12" s="292" t="s">
        <v>442</v>
      </c>
      <c r="D12" s="582">
        <f t="shared" si="6"/>
        <v>0</v>
      </c>
      <c r="E12" s="582">
        <f t="shared" si="66"/>
        <v>0</v>
      </c>
      <c r="F12" s="582">
        <f t="shared" si="67"/>
        <v>0</v>
      </c>
      <c r="G12" s="582">
        <f t="shared" si="68"/>
        <v>21</v>
      </c>
      <c r="H12" s="582">
        <f t="shared" si="69"/>
        <v>10</v>
      </c>
      <c r="I12" s="582">
        <f t="shared" si="70"/>
        <v>145</v>
      </c>
      <c r="J12" s="582">
        <f t="shared" si="71"/>
        <v>0</v>
      </c>
      <c r="K12" s="582">
        <f t="shared" si="72"/>
        <v>0</v>
      </c>
      <c r="L12" s="582">
        <f t="shared" si="73"/>
        <v>0</v>
      </c>
      <c r="M12" s="582">
        <f t="shared" si="74"/>
        <v>29</v>
      </c>
      <c r="N12" s="582">
        <f t="shared" si="75"/>
        <v>4</v>
      </c>
      <c r="O12" s="582">
        <f t="shared" si="76"/>
        <v>18</v>
      </c>
      <c r="P12" s="582">
        <f t="shared" si="77"/>
        <v>14</v>
      </c>
      <c r="Q12" s="582">
        <f t="shared" si="78"/>
        <v>0</v>
      </c>
      <c r="R12" s="582">
        <f t="shared" si="79"/>
        <v>0</v>
      </c>
      <c r="S12" s="582">
        <f t="shared" si="80"/>
        <v>0</v>
      </c>
      <c r="T12" s="582">
        <f t="shared" si="81"/>
        <v>0</v>
      </c>
      <c r="U12" s="582">
        <f t="shared" si="82"/>
        <v>0</v>
      </c>
      <c r="V12" s="582">
        <f t="shared" si="83"/>
        <v>0</v>
      </c>
      <c r="W12" s="582">
        <f t="shared" si="84"/>
        <v>0</v>
      </c>
      <c r="X12" s="582">
        <f t="shared" si="85"/>
        <v>0</v>
      </c>
      <c r="Y12" s="582">
        <f t="shared" si="86"/>
        <v>0</v>
      </c>
      <c r="Z12" s="582">
        <f t="shared" si="87"/>
        <v>0</v>
      </c>
      <c r="AA12" s="582">
        <f t="shared" si="88"/>
        <v>0</v>
      </c>
      <c r="AB12" s="582">
        <f t="shared" si="89"/>
        <v>0</v>
      </c>
      <c r="AC12" s="582">
        <f t="shared" si="90"/>
        <v>0</v>
      </c>
      <c r="AD12" s="582">
        <f t="shared" si="91"/>
        <v>0</v>
      </c>
      <c r="AE12" s="582">
        <f t="shared" si="92"/>
        <v>0</v>
      </c>
      <c r="AF12" s="582">
        <f t="shared" si="93"/>
        <v>0</v>
      </c>
      <c r="AG12" s="582">
        <f t="shared" si="94"/>
        <v>0</v>
      </c>
      <c r="AH12" s="582">
        <f t="shared" si="95"/>
        <v>0</v>
      </c>
      <c r="AI12" s="582">
        <f t="shared" si="96"/>
        <v>0</v>
      </c>
      <c r="AJ12" s="582">
        <f t="shared" si="97"/>
        <v>0</v>
      </c>
      <c r="AK12" s="582">
        <f t="shared" si="98"/>
        <v>22</v>
      </c>
      <c r="AL12" s="582">
        <f t="shared" si="99"/>
        <v>15</v>
      </c>
      <c r="AM12" s="582">
        <f t="shared" si="100"/>
        <v>194</v>
      </c>
      <c r="AN12" s="582">
        <f t="shared" si="101"/>
        <v>0</v>
      </c>
      <c r="AO12" s="582">
        <f t="shared" si="102"/>
        <v>0</v>
      </c>
      <c r="AP12" s="582">
        <f t="shared" si="103"/>
        <v>0</v>
      </c>
      <c r="AQ12" s="582">
        <f t="shared" si="104"/>
        <v>9</v>
      </c>
      <c r="AR12" s="582">
        <f t="shared" si="105"/>
        <v>0</v>
      </c>
      <c r="AS12" s="582">
        <f t="shared" si="106"/>
        <v>23</v>
      </c>
      <c r="AT12" s="582">
        <f t="shared" si="107"/>
        <v>3</v>
      </c>
      <c r="AU12" s="582">
        <f t="shared" si="108"/>
        <v>0</v>
      </c>
      <c r="AV12" s="582">
        <f t="shared" si="109"/>
        <v>0</v>
      </c>
      <c r="AW12" s="582">
        <f t="shared" si="110"/>
        <v>0</v>
      </c>
      <c r="AX12" s="582">
        <f t="shared" si="111"/>
        <v>0</v>
      </c>
      <c r="AY12" s="582">
        <f t="shared" si="112"/>
        <v>0</v>
      </c>
      <c r="AZ12" s="582">
        <f t="shared" si="113"/>
        <v>0</v>
      </c>
      <c r="BA12" s="582">
        <f t="shared" si="114"/>
        <v>0</v>
      </c>
      <c r="BB12" s="582">
        <f t="shared" si="115"/>
        <v>0</v>
      </c>
      <c r="BC12" s="582">
        <f t="shared" si="116"/>
        <v>0</v>
      </c>
      <c r="BD12" s="582">
        <f t="shared" si="117"/>
        <v>0</v>
      </c>
      <c r="BE12" s="582">
        <f t="shared" si="118"/>
        <v>0</v>
      </c>
      <c r="BF12" s="582">
        <f t="shared" si="119"/>
        <v>0</v>
      </c>
      <c r="BG12" s="582">
        <f t="shared" si="120"/>
        <v>0</v>
      </c>
      <c r="BH12" s="582">
        <f t="shared" si="121"/>
        <v>0</v>
      </c>
      <c r="BI12" s="582">
        <f t="shared" si="122"/>
        <v>0</v>
      </c>
      <c r="BJ12" s="582">
        <f t="shared" si="123"/>
        <v>0</v>
      </c>
      <c r="BK12" s="582">
        <f t="shared" si="124"/>
        <v>0</v>
      </c>
      <c r="BL12" s="276"/>
      <c r="BM12" s="276"/>
      <c r="BN12" s="276"/>
      <c r="BO12" s="276"/>
      <c r="BP12" s="276"/>
      <c r="BQ12" s="276"/>
      <c r="BR12" s="276"/>
      <c r="BS12" s="276"/>
      <c r="BT12" s="276"/>
      <c r="BU12" s="276"/>
      <c r="BV12" s="276"/>
      <c r="BW12" s="276"/>
      <c r="BX12" s="92"/>
      <c r="BY12" s="92"/>
      <c r="BZ12" s="92"/>
      <c r="CA12" s="92"/>
      <c r="CB12" s="92"/>
      <c r="CC12" s="92"/>
      <c r="CD12" s="92">
        <v>7</v>
      </c>
      <c r="CE12" s="92">
        <v>8</v>
      </c>
      <c r="CF12" s="92">
        <v>6</v>
      </c>
      <c r="CG12" s="92">
        <v>8</v>
      </c>
      <c r="CH12" s="92">
        <v>7</v>
      </c>
      <c r="CI12" s="92">
        <v>7</v>
      </c>
      <c r="CJ12" s="92">
        <v>2</v>
      </c>
      <c r="CK12" s="92">
        <v>2</v>
      </c>
      <c r="CL12" s="92">
        <v>6</v>
      </c>
      <c r="CM12" s="92">
        <v>5</v>
      </c>
      <c r="CN12" s="92">
        <v>6</v>
      </c>
      <c r="CO12" s="92">
        <v>4</v>
      </c>
      <c r="CP12" s="92">
        <v>48</v>
      </c>
      <c r="CQ12" s="92">
        <v>50</v>
      </c>
      <c r="CR12" s="92">
        <v>47</v>
      </c>
      <c r="CS12" s="92">
        <v>46</v>
      </c>
      <c r="CT12" s="92">
        <v>53</v>
      </c>
      <c r="CU12" s="92">
        <v>95</v>
      </c>
      <c r="CV12" s="92"/>
      <c r="CW12" s="92"/>
      <c r="CX12" s="92"/>
      <c r="CY12" s="92"/>
      <c r="CZ12" s="92"/>
      <c r="DA12" s="92"/>
      <c r="DB12" s="92"/>
      <c r="DC12" s="92"/>
      <c r="DD12" s="92"/>
      <c r="DE12" s="92"/>
      <c r="DF12" s="92"/>
      <c r="DG12" s="92"/>
      <c r="DH12" s="92">
        <v>0</v>
      </c>
      <c r="DI12" s="92">
        <v>0</v>
      </c>
      <c r="DJ12" s="92">
        <v>0</v>
      </c>
      <c r="DK12" s="92">
        <v>0</v>
      </c>
      <c r="DL12" s="92">
        <v>0</v>
      </c>
      <c r="DM12" s="92">
        <v>0</v>
      </c>
      <c r="DN12" s="92">
        <v>13</v>
      </c>
      <c r="DO12" s="92">
        <v>7</v>
      </c>
      <c r="DP12" s="92">
        <v>9</v>
      </c>
      <c r="DQ12" s="92">
        <v>5</v>
      </c>
      <c r="DR12" s="92">
        <v>4</v>
      </c>
      <c r="DS12" s="92">
        <v>0</v>
      </c>
      <c r="DT12" s="92">
        <v>3</v>
      </c>
      <c r="DU12" s="92">
        <v>1</v>
      </c>
      <c r="DV12" s="92">
        <v>0</v>
      </c>
      <c r="DW12" s="92">
        <v>0</v>
      </c>
      <c r="DX12" s="92">
        <v>0</v>
      </c>
      <c r="DY12" s="92">
        <v>0</v>
      </c>
      <c r="DZ12" s="276">
        <v>5</v>
      </c>
      <c r="EA12" s="276">
        <v>9</v>
      </c>
      <c r="EB12" s="276">
        <v>4</v>
      </c>
      <c r="EC12" s="92">
        <v>7</v>
      </c>
      <c r="ED12" s="92">
        <v>5</v>
      </c>
      <c r="EE12" s="92">
        <v>11</v>
      </c>
      <c r="EF12" s="92">
        <v>5</v>
      </c>
      <c r="EG12" s="92">
        <v>5</v>
      </c>
      <c r="EH12" s="92">
        <v>4</v>
      </c>
      <c r="EI12" s="92">
        <v>2</v>
      </c>
      <c r="EJ12" s="92">
        <v>0</v>
      </c>
      <c r="EK12" s="92">
        <v>1</v>
      </c>
      <c r="EL12" s="92"/>
      <c r="EM12" s="92"/>
      <c r="EN12" s="92"/>
      <c r="EO12" s="92"/>
      <c r="EP12" s="92"/>
      <c r="EQ12" s="92"/>
      <c r="ER12" s="276"/>
      <c r="ES12" s="276"/>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2"/>
      <c r="FZ12" s="92"/>
      <c r="GA12" s="92"/>
      <c r="GB12" s="92"/>
      <c r="GC12" s="92"/>
      <c r="GD12" s="92"/>
      <c r="GE12" s="92"/>
      <c r="GF12" s="92"/>
      <c r="GG12" s="92"/>
      <c r="GH12" s="92"/>
      <c r="GI12" s="92"/>
      <c r="GJ12" s="92"/>
      <c r="GK12" s="92"/>
      <c r="GL12" s="92"/>
      <c r="GM12" s="92"/>
      <c r="GN12" s="92"/>
      <c r="GO12" s="92"/>
      <c r="GP12" s="92"/>
      <c r="GQ12" s="92"/>
      <c r="GR12" s="92"/>
      <c r="GS12" s="92"/>
      <c r="GT12" s="92"/>
      <c r="GU12" s="92"/>
      <c r="GV12" s="92"/>
      <c r="GW12" s="92"/>
      <c r="GX12" s="92"/>
      <c r="GY12" s="92"/>
      <c r="GZ12" s="92"/>
      <c r="HA12" s="92"/>
      <c r="HB12" s="92"/>
      <c r="HC12" s="92"/>
      <c r="HD12" s="92"/>
      <c r="HE12" s="92"/>
      <c r="HF12" s="92"/>
      <c r="HG12" s="92"/>
      <c r="HH12" s="92"/>
      <c r="HI12" s="92"/>
      <c r="HJ12" s="92"/>
      <c r="HK12" s="92"/>
      <c r="HL12" s="92"/>
      <c r="HM12" s="92"/>
      <c r="HN12" s="92"/>
      <c r="HO12" s="92"/>
      <c r="HP12" s="92"/>
      <c r="HQ12" s="92"/>
      <c r="HR12" s="92"/>
      <c r="HS12" s="92"/>
      <c r="HT12" s="92"/>
      <c r="HU12" s="92"/>
      <c r="HV12" s="92"/>
      <c r="HW12" s="92"/>
      <c r="HX12" s="92"/>
      <c r="HY12" s="92"/>
      <c r="HZ12" s="92"/>
      <c r="IA12" s="92"/>
      <c r="IB12" s="92"/>
      <c r="IC12" s="92"/>
      <c r="ID12" s="92"/>
      <c r="IE12" s="92"/>
      <c r="IF12" s="92"/>
      <c r="IG12" s="92"/>
      <c r="IH12" s="92"/>
      <c r="II12" s="92"/>
    </row>
    <row r="13" spans="1:243" ht="15">
      <c r="A13" s="276">
        <v>12</v>
      </c>
      <c r="B13" s="275" t="s">
        <v>267</v>
      </c>
      <c r="C13" s="292" t="s">
        <v>445</v>
      </c>
      <c r="D13" s="582">
        <f t="shared" si="6"/>
        <v>0</v>
      </c>
      <c r="E13" s="582">
        <f t="shared" si="66"/>
        <v>0</v>
      </c>
      <c r="F13" s="582">
        <f t="shared" si="67"/>
        <v>0</v>
      </c>
      <c r="G13" s="582">
        <f t="shared" si="68"/>
        <v>30</v>
      </c>
      <c r="H13" s="582">
        <f t="shared" si="69"/>
        <v>16</v>
      </c>
      <c r="I13" s="582">
        <f t="shared" si="70"/>
        <v>89</v>
      </c>
      <c r="J13" s="582">
        <f t="shared" si="71"/>
        <v>0</v>
      </c>
      <c r="K13" s="582">
        <f t="shared" si="72"/>
        <v>0</v>
      </c>
      <c r="L13" s="582">
        <f t="shared" si="73"/>
        <v>17</v>
      </c>
      <c r="M13" s="582">
        <f t="shared" si="74"/>
        <v>13</v>
      </c>
      <c r="N13" s="582">
        <f t="shared" si="75"/>
        <v>8</v>
      </c>
      <c r="O13" s="582">
        <f t="shared" si="76"/>
        <v>13</v>
      </c>
      <c r="P13" s="582">
        <f t="shared" si="77"/>
        <v>6</v>
      </c>
      <c r="Q13" s="582">
        <f t="shared" si="78"/>
        <v>0</v>
      </c>
      <c r="R13" s="582">
        <f t="shared" si="79"/>
        <v>0</v>
      </c>
      <c r="S13" s="582">
        <f t="shared" si="80"/>
        <v>0</v>
      </c>
      <c r="T13" s="582">
        <f t="shared" si="81"/>
        <v>0</v>
      </c>
      <c r="U13" s="582">
        <f t="shared" si="82"/>
        <v>0</v>
      </c>
      <c r="V13" s="582">
        <f t="shared" si="83"/>
        <v>0</v>
      </c>
      <c r="W13" s="582">
        <f t="shared" si="84"/>
        <v>0</v>
      </c>
      <c r="X13" s="582">
        <f t="shared" si="85"/>
        <v>0</v>
      </c>
      <c r="Y13" s="582">
        <f t="shared" si="86"/>
        <v>0</v>
      </c>
      <c r="Z13" s="582">
        <f t="shared" si="87"/>
        <v>0</v>
      </c>
      <c r="AA13" s="582">
        <f t="shared" si="88"/>
        <v>0</v>
      </c>
      <c r="AB13" s="582">
        <f t="shared" si="89"/>
        <v>0</v>
      </c>
      <c r="AC13" s="582">
        <f t="shared" si="90"/>
        <v>0</v>
      </c>
      <c r="AD13" s="582">
        <f t="shared" si="91"/>
        <v>0</v>
      </c>
      <c r="AE13" s="582">
        <f t="shared" si="92"/>
        <v>0</v>
      </c>
      <c r="AF13" s="582">
        <f t="shared" si="93"/>
        <v>0</v>
      </c>
      <c r="AG13" s="582">
        <f t="shared" si="94"/>
        <v>0</v>
      </c>
      <c r="AH13" s="582">
        <f t="shared" si="95"/>
        <v>0</v>
      </c>
      <c r="AI13" s="582">
        <f t="shared" si="96"/>
        <v>0</v>
      </c>
      <c r="AJ13" s="582">
        <f t="shared" si="97"/>
        <v>0</v>
      </c>
      <c r="AK13" s="582">
        <f t="shared" si="98"/>
        <v>34</v>
      </c>
      <c r="AL13" s="582">
        <f t="shared" si="99"/>
        <v>13</v>
      </c>
      <c r="AM13" s="582">
        <f t="shared" si="100"/>
        <v>83</v>
      </c>
      <c r="AN13" s="582">
        <f t="shared" si="101"/>
        <v>0</v>
      </c>
      <c r="AO13" s="582">
        <f t="shared" si="102"/>
        <v>0</v>
      </c>
      <c r="AP13" s="582">
        <f t="shared" si="103"/>
        <v>14</v>
      </c>
      <c r="AQ13" s="582">
        <f t="shared" si="104"/>
        <v>7</v>
      </c>
      <c r="AR13" s="582">
        <f t="shared" si="105"/>
        <v>1</v>
      </c>
      <c r="AS13" s="582">
        <f t="shared" si="106"/>
        <v>14</v>
      </c>
      <c r="AT13" s="582">
        <f t="shared" si="107"/>
        <v>9</v>
      </c>
      <c r="AU13" s="582">
        <f t="shared" si="108"/>
        <v>0</v>
      </c>
      <c r="AV13" s="582">
        <f t="shared" si="109"/>
        <v>0</v>
      </c>
      <c r="AW13" s="582">
        <f t="shared" si="110"/>
        <v>0</v>
      </c>
      <c r="AX13" s="582">
        <f t="shared" si="111"/>
        <v>0</v>
      </c>
      <c r="AY13" s="582">
        <f t="shared" si="112"/>
        <v>0</v>
      </c>
      <c r="AZ13" s="582">
        <f t="shared" si="113"/>
        <v>0</v>
      </c>
      <c r="BA13" s="582">
        <f t="shared" si="114"/>
        <v>0</v>
      </c>
      <c r="BB13" s="582">
        <f t="shared" si="115"/>
        <v>0</v>
      </c>
      <c r="BC13" s="582">
        <f t="shared" si="116"/>
        <v>0</v>
      </c>
      <c r="BD13" s="582">
        <f t="shared" si="117"/>
        <v>0</v>
      </c>
      <c r="BE13" s="582">
        <f t="shared" si="118"/>
        <v>0</v>
      </c>
      <c r="BF13" s="582">
        <f t="shared" si="119"/>
        <v>0</v>
      </c>
      <c r="BG13" s="582">
        <f t="shared" si="120"/>
        <v>0</v>
      </c>
      <c r="BH13" s="582">
        <f t="shared" si="121"/>
        <v>0</v>
      </c>
      <c r="BI13" s="582">
        <f t="shared" si="122"/>
        <v>0</v>
      </c>
      <c r="BJ13" s="582">
        <f t="shared" si="123"/>
        <v>0</v>
      </c>
      <c r="BK13" s="582">
        <f t="shared" si="124"/>
        <v>0</v>
      </c>
      <c r="BL13" s="276"/>
      <c r="BM13" s="276"/>
      <c r="BN13" s="276"/>
      <c r="BO13" s="276"/>
      <c r="BP13" s="276"/>
      <c r="BQ13" s="276"/>
      <c r="BR13" s="276"/>
      <c r="BS13" s="276"/>
      <c r="BT13" s="276"/>
      <c r="BU13" s="276"/>
      <c r="BV13" s="276"/>
      <c r="BW13" s="276"/>
      <c r="BX13" s="92"/>
      <c r="BY13" s="92"/>
      <c r="BZ13" s="92"/>
      <c r="CA13" s="92"/>
      <c r="CB13" s="92"/>
      <c r="CC13" s="92"/>
      <c r="CD13" s="92">
        <v>12</v>
      </c>
      <c r="CE13" s="92">
        <v>1</v>
      </c>
      <c r="CF13" s="92">
        <v>17</v>
      </c>
      <c r="CG13" s="92">
        <v>11</v>
      </c>
      <c r="CH13" s="92">
        <v>10</v>
      </c>
      <c r="CI13" s="92">
        <v>13</v>
      </c>
      <c r="CJ13" s="92">
        <v>8</v>
      </c>
      <c r="CK13" s="92">
        <v>4</v>
      </c>
      <c r="CL13" s="92">
        <v>4</v>
      </c>
      <c r="CM13" s="92">
        <v>2</v>
      </c>
      <c r="CN13" s="92">
        <v>7</v>
      </c>
      <c r="CO13" s="92">
        <v>4</v>
      </c>
      <c r="CP13" s="92">
        <v>33</v>
      </c>
      <c r="CQ13" s="92">
        <v>28</v>
      </c>
      <c r="CR13" s="92">
        <v>28</v>
      </c>
      <c r="CS13" s="92">
        <v>35</v>
      </c>
      <c r="CT13" s="92">
        <v>29</v>
      </c>
      <c r="CU13" s="92">
        <v>19</v>
      </c>
      <c r="CV13" s="92"/>
      <c r="CW13" s="92"/>
      <c r="CX13" s="92"/>
      <c r="CY13" s="92"/>
      <c r="CZ13" s="92"/>
      <c r="DA13" s="92"/>
      <c r="DB13" s="92"/>
      <c r="DC13" s="92"/>
      <c r="DD13" s="92"/>
      <c r="DE13" s="92"/>
      <c r="DF13" s="92"/>
      <c r="DG13" s="92"/>
      <c r="DH13" s="92">
        <v>9</v>
      </c>
      <c r="DI13" s="92">
        <v>3</v>
      </c>
      <c r="DJ13" s="92">
        <v>5</v>
      </c>
      <c r="DK13" s="92">
        <v>3</v>
      </c>
      <c r="DL13" s="92">
        <v>4</v>
      </c>
      <c r="DM13" s="92">
        <v>7</v>
      </c>
      <c r="DN13" s="92">
        <v>7</v>
      </c>
      <c r="DO13" s="92">
        <v>3</v>
      </c>
      <c r="DP13" s="92">
        <v>3</v>
      </c>
      <c r="DQ13" s="92">
        <v>3</v>
      </c>
      <c r="DR13" s="92">
        <v>3</v>
      </c>
      <c r="DS13" s="92">
        <v>1</v>
      </c>
      <c r="DT13" s="92">
        <v>4</v>
      </c>
      <c r="DU13" s="92">
        <v>3</v>
      </c>
      <c r="DV13" s="92">
        <v>1</v>
      </c>
      <c r="DW13" s="92">
        <v>1</v>
      </c>
      <c r="DX13" s="92">
        <v>0</v>
      </c>
      <c r="DY13" s="92">
        <v>0</v>
      </c>
      <c r="DZ13" s="276">
        <v>3</v>
      </c>
      <c r="EA13" s="276">
        <v>3</v>
      </c>
      <c r="EB13" s="276">
        <v>7</v>
      </c>
      <c r="EC13" s="92">
        <v>7</v>
      </c>
      <c r="ED13" s="92">
        <v>2</v>
      </c>
      <c r="EE13" s="92">
        <v>5</v>
      </c>
      <c r="EF13" s="92">
        <v>3</v>
      </c>
      <c r="EG13" s="92">
        <v>2</v>
      </c>
      <c r="EH13" s="92">
        <v>1</v>
      </c>
      <c r="EI13" s="92">
        <v>4</v>
      </c>
      <c r="EJ13" s="92">
        <v>3</v>
      </c>
      <c r="EK13" s="92">
        <v>2</v>
      </c>
      <c r="EL13" s="92"/>
      <c r="EM13" s="92"/>
      <c r="EN13" s="92"/>
      <c r="EO13" s="92"/>
      <c r="EP13" s="92"/>
      <c r="EQ13" s="92"/>
      <c r="ER13" s="276"/>
      <c r="ES13" s="276"/>
      <c r="ET13" s="92"/>
      <c r="EU13" s="92"/>
      <c r="EV13" s="92"/>
      <c r="EW13" s="92"/>
      <c r="EX13" s="92"/>
      <c r="EY13" s="92"/>
      <c r="EZ13" s="92"/>
      <c r="FA13" s="92"/>
      <c r="FB13" s="92"/>
      <c r="FC13" s="92"/>
      <c r="FD13" s="92"/>
      <c r="FE13" s="92"/>
      <c r="FF13" s="92"/>
      <c r="FG13" s="92"/>
      <c r="FH13" s="92"/>
      <c r="FI13" s="92"/>
      <c r="FJ13" s="92"/>
      <c r="FK13" s="92"/>
      <c r="FL13" s="92"/>
      <c r="FM13" s="92"/>
      <c r="FN13" s="92"/>
      <c r="FO13" s="92"/>
      <c r="FP13" s="92"/>
      <c r="FQ13" s="92"/>
      <c r="FR13" s="92"/>
      <c r="FS13" s="92"/>
      <c r="FT13" s="92"/>
      <c r="FU13" s="92"/>
      <c r="FV13" s="92"/>
      <c r="FW13" s="92"/>
      <c r="FX13" s="92"/>
      <c r="FY13" s="92"/>
      <c r="FZ13" s="92"/>
      <c r="GA13" s="92"/>
      <c r="GB13" s="92"/>
      <c r="GC13" s="92"/>
      <c r="GD13" s="92"/>
      <c r="GE13" s="92"/>
      <c r="GF13" s="92"/>
      <c r="GG13" s="92"/>
      <c r="GH13" s="92"/>
      <c r="GI13" s="92"/>
      <c r="GJ13" s="92"/>
      <c r="GK13" s="92"/>
      <c r="GL13" s="92"/>
      <c r="GM13" s="92"/>
      <c r="GN13" s="92"/>
      <c r="GO13" s="92"/>
      <c r="GP13" s="92"/>
      <c r="GQ13" s="92"/>
      <c r="GR13" s="92"/>
      <c r="GS13" s="92"/>
      <c r="GT13" s="92"/>
      <c r="GU13" s="92"/>
      <c r="GV13" s="92"/>
      <c r="GW13" s="92"/>
      <c r="GX13" s="92"/>
      <c r="GY13" s="92"/>
      <c r="GZ13" s="92"/>
      <c r="HA13" s="92"/>
      <c r="HB13" s="92"/>
      <c r="HC13" s="92"/>
      <c r="HD13" s="92"/>
      <c r="HE13" s="92"/>
      <c r="HF13" s="92"/>
      <c r="HG13" s="92"/>
      <c r="HH13" s="92"/>
      <c r="HI13" s="92"/>
      <c r="HJ13" s="92"/>
      <c r="HK13" s="92"/>
      <c r="HL13" s="92"/>
      <c r="HM13" s="92"/>
      <c r="HN13" s="92"/>
      <c r="HO13" s="92"/>
      <c r="HP13" s="92"/>
      <c r="HQ13" s="92"/>
      <c r="HR13" s="92"/>
      <c r="HS13" s="92"/>
      <c r="HT13" s="92"/>
      <c r="HU13" s="92"/>
      <c r="HV13" s="92"/>
      <c r="HW13" s="92"/>
      <c r="HX13" s="92"/>
      <c r="HY13" s="92"/>
      <c r="HZ13" s="92"/>
      <c r="IA13" s="92"/>
      <c r="IB13" s="92"/>
      <c r="IC13" s="92"/>
      <c r="ID13" s="92"/>
      <c r="IE13" s="92"/>
      <c r="IF13" s="92"/>
      <c r="IG13" s="92"/>
      <c r="IH13" s="92"/>
      <c r="II13" s="92"/>
    </row>
    <row r="14" spans="1:243">
      <c r="EA14" s="272"/>
    </row>
  </sheetData>
  <mergeCells count="62">
    <mergeCell ref="D4:AG4"/>
    <mergeCell ref="AH4:BK4"/>
    <mergeCell ref="HX2:IC2"/>
    <mergeCell ref="ID2:II2"/>
    <mergeCell ref="HX3:IC3"/>
    <mergeCell ref="ID3:II3"/>
    <mergeCell ref="HF2:HK2"/>
    <mergeCell ref="HL2:HQ2"/>
    <mergeCell ref="HR2:HW2"/>
    <mergeCell ref="HF3:HK3"/>
    <mergeCell ref="HL3:HQ3"/>
    <mergeCell ref="HR3:HW3"/>
    <mergeCell ref="GN2:GS2"/>
    <mergeCell ref="GT2:GY2"/>
    <mergeCell ref="GZ2:HE2"/>
    <mergeCell ref="GN3:GS3"/>
    <mergeCell ref="GT3:GY3"/>
    <mergeCell ref="GZ3:HE3"/>
    <mergeCell ref="GH2:GM2"/>
    <mergeCell ref="FV3:GA3"/>
    <mergeCell ref="GB3:GG3"/>
    <mergeCell ref="GH3:GM3"/>
    <mergeCell ref="FV2:GA2"/>
    <mergeCell ref="GB2:GG2"/>
    <mergeCell ref="EL2:EQ2"/>
    <mergeCell ref="ER2:EW2"/>
    <mergeCell ref="EX2:FC2"/>
    <mergeCell ref="FD2:FI2"/>
    <mergeCell ref="FJ2:FO2"/>
    <mergeCell ref="FP2:FU2"/>
    <mergeCell ref="EX3:FC3"/>
    <mergeCell ref="FD3:FI3"/>
    <mergeCell ref="FJ3:FO3"/>
    <mergeCell ref="FP3:FU3"/>
    <mergeCell ref="EL3:EQ3"/>
    <mergeCell ref="ER3:EW3"/>
    <mergeCell ref="CP2:CU2"/>
    <mergeCell ref="CV2:DA2"/>
    <mergeCell ref="DB2:DG2"/>
    <mergeCell ref="DH2:DM2"/>
    <mergeCell ref="DN3:DS3"/>
    <mergeCell ref="CP3:CU3"/>
    <mergeCell ref="CV3:DA3"/>
    <mergeCell ref="DB3:DG3"/>
    <mergeCell ref="DH3:DM3"/>
    <mergeCell ref="DN2:DS2"/>
    <mergeCell ref="DT2:DY2"/>
    <mergeCell ref="DZ2:EE2"/>
    <mergeCell ref="EF2:EK2"/>
    <mergeCell ref="DT3:DY3"/>
    <mergeCell ref="DZ3:EE3"/>
    <mergeCell ref="EF3:EK3"/>
    <mergeCell ref="BL2:BQ2"/>
    <mergeCell ref="BR2:BW2"/>
    <mergeCell ref="BX2:CC2"/>
    <mergeCell ref="CD2:CI2"/>
    <mergeCell ref="CJ2:CO2"/>
    <mergeCell ref="BL3:BQ3"/>
    <mergeCell ref="BR3:BW3"/>
    <mergeCell ref="BX3:CC3"/>
    <mergeCell ref="CD3:CI3"/>
    <mergeCell ref="CJ3:CO3"/>
  </mergeCells>
  <phoneticPr fontId="4" type="noConversion"/>
  <pageMargins left="0.7" right="0.7" top="0.75" bottom="0.75" header="0.3" footer="0.3"/>
  <pageSetup paperSize="9" orientation="portrait" r:id="rId1"/>
  <ignoredErrors>
    <ignoredError sqref="G6:H13 AJ6:AK13" formulaRange="1"/>
  </ignoredError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D5604-68F7-4283-AB4F-B750EE80A311}">
  <sheetPr codeName="Hoja11">
    <tabColor rgb="FF00B050"/>
  </sheetPr>
  <dimension ref="A1:AI6"/>
  <sheetViews>
    <sheetView workbookViewId="0">
      <selection activeCell="A30" sqref="A30"/>
    </sheetView>
  </sheetViews>
  <sheetFormatPr baseColWidth="10" defaultRowHeight="12.75"/>
  <cols>
    <col min="1" max="1" width="3.140625" bestFit="1" customWidth="1"/>
    <col min="2" max="2" width="18.42578125" bestFit="1" customWidth="1"/>
    <col min="3" max="3" width="28.5703125" bestFit="1" customWidth="1"/>
    <col min="4" max="5" width="7.85546875" customWidth="1"/>
    <col min="6" max="6" width="7.7109375" customWidth="1"/>
    <col min="7" max="8" width="7.85546875" customWidth="1"/>
    <col min="9" max="11" width="9" bestFit="1" customWidth="1"/>
    <col min="12" max="12" width="7.85546875" bestFit="1" customWidth="1"/>
    <col min="13" max="13" width="9" bestFit="1" customWidth="1"/>
    <col min="14" max="15" width="7.85546875" bestFit="1" customWidth="1"/>
    <col min="16" max="16" width="7.7109375" bestFit="1" customWidth="1"/>
    <col min="17" max="17" width="7.85546875" bestFit="1" customWidth="1"/>
    <col min="18" max="18" width="7.85546875" customWidth="1"/>
    <col min="19" max="19" width="7.85546875" bestFit="1" customWidth="1"/>
    <col min="20" max="20" width="9" bestFit="1" customWidth="1"/>
    <col min="21" max="21" width="7.7109375" bestFit="1" customWidth="1"/>
    <col min="22" max="22" width="7.85546875" bestFit="1" customWidth="1"/>
    <col min="23" max="23" width="9" bestFit="1" customWidth="1"/>
    <col min="24" max="24" width="9.7109375" bestFit="1" customWidth="1"/>
    <col min="25" max="25" width="7.42578125" customWidth="1"/>
    <col min="26" max="26" width="8.28515625" bestFit="1" customWidth="1"/>
    <col min="27" max="27" width="7.7109375" bestFit="1" customWidth="1"/>
    <col min="28" max="28" width="7.85546875" bestFit="1" customWidth="1"/>
    <col min="29" max="29" width="8.28515625" bestFit="1" customWidth="1"/>
    <col min="30" max="30" width="13.85546875" customWidth="1"/>
    <col min="31" max="31" width="6.5703125" bestFit="1" customWidth="1"/>
    <col min="32" max="32" width="7.140625" bestFit="1" customWidth="1"/>
    <col min="33" max="33" width="7.7109375" bestFit="1" customWidth="1"/>
    <col min="34" max="34" width="7.85546875" bestFit="1" customWidth="1"/>
    <col min="35" max="35" width="7.85546875" customWidth="1"/>
  </cols>
  <sheetData>
    <row r="1" spans="1:35" s="293" customFormat="1" ht="24.75" customHeight="1">
      <c r="D1" s="754" t="s">
        <v>539</v>
      </c>
      <c r="E1" s="754"/>
      <c r="F1" s="754"/>
      <c r="G1" s="754"/>
      <c r="H1" s="754"/>
      <c r="I1" s="755" t="s">
        <v>540</v>
      </c>
      <c r="J1" s="755"/>
      <c r="K1" s="755"/>
      <c r="L1" s="755"/>
      <c r="M1" s="755"/>
      <c r="N1" s="754" t="s">
        <v>541</v>
      </c>
      <c r="O1" s="754"/>
      <c r="P1" s="754"/>
      <c r="Q1" s="754"/>
      <c r="R1" s="754"/>
      <c r="S1" s="755" t="s">
        <v>544</v>
      </c>
      <c r="T1" s="755"/>
      <c r="U1" s="755"/>
      <c r="V1" s="755"/>
      <c r="W1" s="755"/>
      <c r="Y1" s="756" t="s">
        <v>542</v>
      </c>
      <c r="Z1" s="756"/>
      <c r="AA1" s="756"/>
      <c r="AB1" s="756"/>
      <c r="AC1" s="756"/>
      <c r="AE1" s="753" t="s">
        <v>543</v>
      </c>
      <c r="AF1" s="753"/>
      <c r="AG1" s="753"/>
      <c r="AH1" s="753"/>
      <c r="AI1" s="753"/>
    </row>
    <row r="2" spans="1:35" s="289" customFormat="1" ht="45">
      <c r="A2" s="288" t="s">
        <v>118</v>
      </c>
      <c r="B2" s="288" t="s">
        <v>423</v>
      </c>
      <c r="C2" s="288" t="s">
        <v>424</v>
      </c>
      <c r="D2" s="287" t="s">
        <v>488</v>
      </c>
      <c r="E2" s="287" t="s">
        <v>489</v>
      </c>
      <c r="F2" s="287" t="s">
        <v>490</v>
      </c>
      <c r="G2" s="287" t="s">
        <v>491</v>
      </c>
      <c r="H2" s="287" t="s">
        <v>136</v>
      </c>
      <c r="I2" s="287" t="s">
        <v>488</v>
      </c>
      <c r="J2" s="287" t="s">
        <v>489</v>
      </c>
      <c r="K2" s="287" t="s">
        <v>490</v>
      </c>
      <c r="L2" s="287" t="s">
        <v>491</v>
      </c>
      <c r="M2" s="287" t="s">
        <v>136</v>
      </c>
      <c r="N2" s="287" t="s">
        <v>488</v>
      </c>
      <c r="O2" s="287" t="s">
        <v>489</v>
      </c>
      <c r="P2" s="287" t="s">
        <v>490</v>
      </c>
      <c r="Q2" s="287" t="s">
        <v>491</v>
      </c>
      <c r="R2" s="287" t="s">
        <v>136</v>
      </c>
      <c r="S2" s="287" t="s">
        <v>488</v>
      </c>
      <c r="T2" s="287" t="s">
        <v>489</v>
      </c>
      <c r="U2" s="287" t="s">
        <v>490</v>
      </c>
      <c r="V2" s="287" t="s">
        <v>491</v>
      </c>
      <c r="W2" s="287" t="s">
        <v>136</v>
      </c>
      <c r="X2" s="287" t="s">
        <v>536</v>
      </c>
      <c r="Y2" s="287" t="s">
        <v>488</v>
      </c>
      <c r="Z2" s="287" t="s">
        <v>489</v>
      </c>
      <c r="AA2" s="287" t="s">
        <v>490</v>
      </c>
      <c r="AB2" s="287" t="s">
        <v>491</v>
      </c>
      <c r="AC2" s="287" t="s">
        <v>136</v>
      </c>
      <c r="AD2" s="287" t="s">
        <v>537</v>
      </c>
      <c r="AE2" s="287" t="s">
        <v>488</v>
      </c>
      <c r="AF2" s="287" t="s">
        <v>489</v>
      </c>
      <c r="AG2" s="287" t="s">
        <v>490</v>
      </c>
      <c r="AH2" s="287" t="s">
        <v>491</v>
      </c>
      <c r="AI2" s="294" t="s">
        <v>136</v>
      </c>
    </row>
    <row r="3" spans="1:35" ht="15">
      <c r="A3" s="276"/>
      <c r="B3" s="275"/>
      <c r="C3" s="292" t="s">
        <v>547</v>
      </c>
      <c r="D3" s="272">
        <f>+SUM(D4:D6)</f>
        <v>11064</v>
      </c>
      <c r="E3" s="272">
        <f t="shared" ref="E3:X3" si="0">+SUM(E4:E6)</f>
        <v>1865</v>
      </c>
      <c r="F3" s="272">
        <f t="shared" si="0"/>
        <v>1582</v>
      </c>
      <c r="G3" s="272">
        <f t="shared" si="0"/>
        <v>681</v>
      </c>
      <c r="H3" s="272">
        <f t="shared" si="0"/>
        <v>15192</v>
      </c>
      <c r="I3" s="272">
        <f t="shared" si="0"/>
        <v>77360</v>
      </c>
      <c r="J3" s="272">
        <f t="shared" si="0"/>
        <v>82251</v>
      </c>
      <c r="K3" s="272">
        <f t="shared" si="0"/>
        <v>74387</v>
      </c>
      <c r="L3" s="272">
        <f t="shared" si="0"/>
        <v>27131</v>
      </c>
      <c r="M3" s="272">
        <f t="shared" si="0"/>
        <v>261129</v>
      </c>
      <c r="N3" s="272">
        <f t="shared" si="0"/>
        <v>9671</v>
      </c>
      <c r="O3" s="272">
        <f t="shared" si="0"/>
        <v>2510</v>
      </c>
      <c r="P3" s="272">
        <f t="shared" si="0"/>
        <v>0</v>
      </c>
      <c r="Q3" s="272">
        <f t="shared" si="0"/>
        <v>0</v>
      </c>
      <c r="R3" s="272">
        <f t="shared" si="0"/>
        <v>12181</v>
      </c>
      <c r="S3" s="272">
        <f t="shared" si="0"/>
        <v>63506</v>
      </c>
      <c r="T3" s="272">
        <f t="shared" si="0"/>
        <v>62547</v>
      </c>
      <c r="U3" s="272">
        <f t="shared" si="0"/>
        <v>0</v>
      </c>
      <c r="V3" s="272">
        <f t="shared" si="0"/>
        <v>0</v>
      </c>
      <c r="W3" s="272">
        <f t="shared" si="0"/>
        <v>126053</v>
      </c>
      <c r="X3" s="272">
        <f t="shared" si="0"/>
        <v>47958</v>
      </c>
      <c r="Y3" s="290">
        <f t="shared" ref="Y3:Y6" si="1">+N3/$X3</f>
        <v>0.20165561533008047</v>
      </c>
      <c r="Z3" s="290">
        <f t="shared" ref="Z3:Z6" si="2">+O3/$X3</f>
        <v>5.2337461945869301E-2</v>
      </c>
      <c r="AA3" s="290">
        <f t="shared" ref="AA3:AA6" si="3">+P3/$X3</f>
        <v>0</v>
      </c>
      <c r="AB3" s="290">
        <f t="shared" ref="AB3:AB6" si="4">+Q3/$X3</f>
        <v>0</v>
      </c>
      <c r="AC3" s="290">
        <f t="shared" ref="AC3:AC6" si="5">+R3/$X3</f>
        <v>0.25399307727594977</v>
      </c>
      <c r="AD3" s="290">
        <f t="shared" ref="AD3:AD6" si="6">1-Y3</f>
        <v>0.79834438466991953</v>
      </c>
      <c r="AE3" s="291">
        <f t="shared" ref="AE3:AE6" si="7">IFERROR(+S3/N3,0)</f>
        <v>6.5666425395512356</v>
      </c>
      <c r="AF3" s="291">
        <f t="shared" ref="AF3:AF6" si="8">IFERROR(+T3/O3,0)</f>
        <v>24.919123505976096</v>
      </c>
      <c r="AG3" s="291">
        <f t="shared" ref="AG3:AG6" si="9">IFERROR(+U3/P3,0)</f>
        <v>0</v>
      </c>
      <c r="AH3" s="291">
        <f t="shared" ref="AH3:AH6" si="10">IFERROR(+V3/Q3,0)</f>
        <v>0</v>
      </c>
      <c r="AI3" s="291">
        <f t="shared" ref="AI3:AI6" si="11">IFERROR(+W3/R3,0)</f>
        <v>10.348329365405139</v>
      </c>
    </row>
    <row r="4" spans="1:35" ht="15">
      <c r="A4" s="276">
        <v>5</v>
      </c>
      <c r="B4" s="275" t="s">
        <v>265</v>
      </c>
      <c r="C4" s="92" t="s">
        <v>427</v>
      </c>
      <c r="D4" s="272">
        <v>3313</v>
      </c>
      <c r="E4" s="272">
        <v>558</v>
      </c>
      <c r="F4" s="272">
        <v>383</v>
      </c>
      <c r="G4" s="272">
        <v>143</v>
      </c>
      <c r="H4" s="272">
        <f t="shared" ref="H4:H6" si="12">+SUM(D4:G4)</f>
        <v>4397</v>
      </c>
      <c r="I4" s="272">
        <v>14428</v>
      </c>
      <c r="J4" s="272">
        <v>14471</v>
      </c>
      <c r="K4" s="272">
        <v>14222</v>
      </c>
      <c r="L4" s="272">
        <v>5452</v>
      </c>
      <c r="M4" s="272">
        <f t="shared" ref="M4:M6" si="13">+SUM(I4:L4)</f>
        <v>48573</v>
      </c>
      <c r="N4" s="272">
        <v>2756</v>
      </c>
      <c r="O4" s="272">
        <v>354</v>
      </c>
      <c r="P4" s="272"/>
      <c r="Q4" s="272"/>
      <c r="R4" s="272">
        <f t="shared" ref="R4:R6" si="14">+SUM(N4:Q4)</f>
        <v>3110</v>
      </c>
      <c r="S4" s="272">
        <v>15959</v>
      </c>
      <c r="T4" s="272">
        <v>12547</v>
      </c>
      <c r="U4" s="272"/>
      <c r="V4" s="272"/>
      <c r="W4" s="272">
        <f t="shared" ref="W4:W6" si="15">+SUM(S4:V4)</f>
        <v>28506</v>
      </c>
      <c r="X4" s="272">
        <v>10772</v>
      </c>
      <c r="Y4" s="290">
        <f t="shared" si="1"/>
        <v>0.25584849610100258</v>
      </c>
      <c r="Z4" s="290">
        <f t="shared" si="2"/>
        <v>3.2862978091347937E-2</v>
      </c>
      <c r="AA4" s="290">
        <f t="shared" si="3"/>
        <v>0</v>
      </c>
      <c r="AB4" s="290">
        <f t="shared" si="4"/>
        <v>0</v>
      </c>
      <c r="AC4" s="290">
        <f t="shared" si="5"/>
        <v>0.28871147419235055</v>
      </c>
      <c r="AD4" s="290">
        <f t="shared" si="6"/>
        <v>0.74415150389899742</v>
      </c>
      <c r="AE4" s="291">
        <f t="shared" si="7"/>
        <v>5.7906386066763424</v>
      </c>
      <c r="AF4" s="291">
        <f t="shared" si="8"/>
        <v>35.443502824858754</v>
      </c>
      <c r="AG4" s="291">
        <f t="shared" si="9"/>
        <v>0</v>
      </c>
      <c r="AH4" s="291">
        <f t="shared" si="10"/>
        <v>0</v>
      </c>
      <c r="AI4" s="291">
        <f t="shared" si="11"/>
        <v>9.1659163987138257</v>
      </c>
    </row>
    <row r="5" spans="1:35" ht="15">
      <c r="A5" s="276">
        <v>6</v>
      </c>
      <c r="B5" s="275" t="s">
        <v>265</v>
      </c>
      <c r="C5" s="92" t="s">
        <v>428</v>
      </c>
      <c r="D5" s="272">
        <v>3029</v>
      </c>
      <c r="E5" s="272">
        <v>807</v>
      </c>
      <c r="F5" s="272">
        <v>674</v>
      </c>
      <c r="G5" s="272">
        <v>348</v>
      </c>
      <c r="H5" s="272">
        <f t="shared" si="12"/>
        <v>4858</v>
      </c>
      <c r="I5" s="272">
        <v>40426</v>
      </c>
      <c r="J5" s="272">
        <v>41596</v>
      </c>
      <c r="K5" s="272">
        <v>37924</v>
      </c>
      <c r="L5" s="272">
        <v>14125</v>
      </c>
      <c r="M5" s="272">
        <f t="shared" si="13"/>
        <v>134071</v>
      </c>
      <c r="N5" s="272">
        <v>4161</v>
      </c>
      <c r="O5" s="272">
        <v>1367</v>
      </c>
      <c r="P5" s="272"/>
      <c r="Q5" s="272"/>
      <c r="R5" s="272">
        <f t="shared" si="14"/>
        <v>5528</v>
      </c>
      <c r="S5" s="272">
        <v>29610</v>
      </c>
      <c r="T5" s="272">
        <v>29005</v>
      </c>
      <c r="U5" s="272"/>
      <c r="V5" s="272"/>
      <c r="W5" s="272">
        <f t="shared" si="15"/>
        <v>58615</v>
      </c>
      <c r="X5" s="272">
        <v>19976</v>
      </c>
      <c r="Y5" s="290">
        <f t="shared" si="1"/>
        <v>0.20829995995194234</v>
      </c>
      <c r="Z5" s="290">
        <f t="shared" si="2"/>
        <v>6.8432118542250703E-2</v>
      </c>
      <c r="AA5" s="290">
        <f t="shared" si="3"/>
        <v>0</v>
      </c>
      <c r="AB5" s="290">
        <f t="shared" si="4"/>
        <v>0</v>
      </c>
      <c r="AC5" s="290">
        <f t="shared" si="5"/>
        <v>0.27673207849419301</v>
      </c>
      <c r="AD5" s="290">
        <f t="shared" si="6"/>
        <v>0.79170004004805761</v>
      </c>
      <c r="AE5" s="291">
        <f t="shared" si="7"/>
        <v>7.1160778658976209</v>
      </c>
      <c r="AF5" s="291">
        <f t="shared" si="8"/>
        <v>21.217995610826627</v>
      </c>
      <c r="AG5" s="291">
        <f t="shared" si="9"/>
        <v>0</v>
      </c>
      <c r="AH5" s="291">
        <f t="shared" si="10"/>
        <v>0</v>
      </c>
      <c r="AI5" s="291">
        <f t="shared" si="11"/>
        <v>10.603292329956584</v>
      </c>
    </row>
    <row r="6" spans="1:35" ht="15">
      <c r="A6" s="276">
        <v>7</v>
      </c>
      <c r="B6" s="275" t="s">
        <v>265</v>
      </c>
      <c r="C6" s="92" t="s">
        <v>500</v>
      </c>
      <c r="D6" s="272">
        <v>4722</v>
      </c>
      <c r="E6" s="272">
        <v>500</v>
      </c>
      <c r="F6" s="272">
        <v>525</v>
      </c>
      <c r="G6" s="272">
        <v>190</v>
      </c>
      <c r="H6" s="272">
        <f t="shared" si="12"/>
        <v>5937</v>
      </c>
      <c r="I6" s="272">
        <v>22506</v>
      </c>
      <c r="J6" s="272">
        <v>26184</v>
      </c>
      <c r="K6" s="272">
        <v>22241</v>
      </c>
      <c r="L6" s="272">
        <v>7554</v>
      </c>
      <c r="M6" s="272">
        <f t="shared" si="13"/>
        <v>78485</v>
      </c>
      <c r="N6" s="272">
        <v>2754</v>
      </c>
      <c r="O6" s="272">
        <v>789</v>
      </c>
      <c r="P6" s="272"/>
      <c r="Q6" s="272"/>
      <c r="R6" s="272">
        <f t="shared" si="14"/>
        <v>3543</v>
      </c>
      <c r="S6" s="272">
        <v>17937</v>
      </c>
      <c r="T6" s="272">
        <v>20995</v>
      </c>
      <c r="U6" s="272"/>
      <c r="V6" s="272"/>
      <c r="W6" s="272">
        <f t="shared" si="15"/>
        <v>38932</v>
      </c>
      <c r="X6" s="272">
        <v>17210</v>
      </c>
      <c r="Y6" s="290">
        <f t="shared" si="1"/>
        <v>0.1600232423009878</v>
      </c>
      <c r="Z6" s="290">
        <f t="shared" si="2"/>
        <v>4.5845438698431142E-2</v>
      </c>
      <c r="AA6" s="290">
        <f t="shared" si="3"/>
        <v>0</v>
      </c>
      <c r="AB6" s="290">
        <f t="shared" si="4"/>
        <v>0</v>
      </c>
      <c r="AC6" s="290">
        <f t="shared" si="5"/>
        <v>0.20586868099941893</v>
      </c>
      <c r="AD6" s="290">
        <f t="shared" si="6"/>
        <v>0.83997675769901226</v>
      </c>
      <c r="AE6" s="291">
        <f t="shared" si="7"/>
        <v>6.5130718954248366</v>
      </c>
      <c r="AF6" s="291">
        <f t="shared" si="8"/>
        <v>26.609632446134349</v>
      </c>
      <c r="AG6" s="291">
        <f t="shared" si="9"/>
        <v>0</v>
      </c>
      <c r="AH6" s="291">
        <f t="shared" si="10"/>
        <v>0</v>
      </c>
      <c r="AI6" s="291">
        <f t="shared" si="11"/>
        <v>10.988427885972341</v>
      </c>
    </row>
  </sheetData>
  <mergeCells count="6">
    <mergeCell ref="AE1:AI1"/>
    <mergeCell ref="D1:H1"/>
    <mergeCell ref="I1:M1"/>
    <mergeCell ref="N1:R1"/>
    <mergeCell ref="S1:W1"/>
    <mergeCell ref="Y1:AC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431AC-C5F7-46FA-83A5-65ACA23F2FD2}">
  <sheetPr codeName="Hoja13">
    <tabColor rgb="FF00B050"/>
  </sheetPr>
  <dimension ref="A1:EB16"/>
  <sheetViews>
    <sheetView workbookViewId="0">
      <pane xSplit="3" ySplit="3" topLeftCell="D4" activePane="bottomRight" state="frozen"/>
      <selection pane="topRight" activeCell="D1" sqref="D1"/>
      <selection pane="bottomLeft" activeCell="A4" sqref="A4"/>
      <selection pane="bottomRight" activeCell="BG19" sqref="BG19"/>
    </sheetView>
  </sheetViews>
  <sheetFormatPr baseColWidth="10" defaultRowHeight="12.75"/>
  <cols>
    <col min="1" max="1" width="18.42578125" bestFit="1" customWidth="1"/>
    <col min="2" max="2" width="34" customWidth="1"/>
    <col min="3" max="3" width="6" style="272" customWidth="1"/>
    <col min="4" max="4" width="6.5703125" style="272" customWidth="1"/>
    <col min="5" max="5" width="7.140625" style="272" customWidth="1"/>
    <col min="6" max="6" width="7.7109375" style="272" customWidth="1"/>
    <col min="7" max="7" width="7.85546875" style="272" customWidth="1"/>
    <col min="8" max="8" width="6" customWidth="1"/>
    <col min="9" max="9" width="6.5703125" customWidth="1"/>
    <col min="10" max="10" width="7.140625" customWidth="1"/>
    <col min="11" max="11" width="7.7109375" customWidth="1"/>
    <col min="12" max="12" width="7.85546875" customWidth="1"/>
    <col min="13" max="13" width="7" customWidth="1"/>
    <col min="14" max="14" width="6.5703125" customWidth="1"/>
    <col min="15" max="15" width="7.140625" customWidth="1"/>
    <col min="16" max="16" width="7.7109375" customWidth="1"/>
    <col min="17" max="17" width="7.85546875" customWidth="1"/>
    <col min="18" max="18" width="10" customWidth="1"/>
    <col min="19" max="19" width="6.5703125" customWidth="1"/>
    <col min="20" max="20" width="7.140625" customWidth="1"/>
    <col min="21" max="21" width="7.7109375" customWidth="1"/>
    <col min="22" max="22" width="7.85546875" customWidth="1"/>
    <col min="23" max="23" width="15.140625" customWidth="1"/>
    <col min="24" max="24" width="6.5703125" customWidth="1"/>
    <col min="25" max="25" width="7.140625" customWidth="1"/>
    <col min="26" max="26" width="7.7109375" customWidth="1"/>
    <col min="27" max="27" width="7.85546875" customWidth="1"/>
    <col min="28" max="28" width="14.5703125" customWidth="1"/>
    <col min="29" max="29" width="6.5703125" customWidth="1"/>
    <col min="30" max="30" width="7.140625" customWidth="1"/>
    <col min="31" max="31" width="7.7109375" customWidth="1"/>
    <col min="32" max="32" width="7.85546875" customWidth="1"/>
    <col min="33" max="33" width="9.5703125" customWidth="1"/>
    <col min="34" max="34" width="6.5703125" customWidth="1"/>
    <col min="35" max="35" width="7.140625" customWidth="1"/>
    <col min="36" max="36" width="7.7109375" customWidth="1"/>
    <col min="37" max="37" width="7.85546875" customWidth="1"/>
    <col min="38" max="38" width="7.85546875" style="282" customWidth="1"/>
    <col min="39" max="39" width="12.28515625" customWidth="1"/>
    <col min="43" max="52" width="11.42578125" style="272"/>
    <col min="53" max="53" width="5.42578125" bestFit="1" customWidth="1"/>
    <col min="54" max="54" width="6.5703125" bestFit="1" customWidth="1"/>
    <col min="55" max="55" width="7.140625" bestFit="1" customWidth="1"/>
    <col min="56" max="56" width="7.7109375" bestFit="1" customWidth="1"/>
    <col min="57" max="57" width="7.85546875" bestFit="1" customWidth="1"/>
    <col min="58" max="58" width="6" bestFit="1" customWidth="1"/>
    <col min="59" max="59" width="6.5703125" bestFit="1" customWidth="1"/>
    <col min="60" max="60" width="7.140625" bestFit="1" customWidth="1"/>
    <col min="61" max="61" width="7.7109375" bestFit="1" customWidth="1"/>
    <col min="62" max="62" width="7.85546875" bestFit="1" customWidth="1"/>
    <col min="63" max="63" width="6" bestFit="1" customWidth="1"/>
    <col min="64" max="64" width="6.5703125" bestFit="1" customWidth="1"/>
    <col min="65" max="65" width="7.140625" bestFit="1" customWidth="1"/>
    <col min="66" max="66" width="7.7109375" bestFit="1" customWidth="1"/>
    <col min="67" max="67" width="7.85546875" bestFit="1" customWidth="1"/>
    <col min="68" max="68" width="6" bestFit="1" customWidth="1"/>
    <col min="69" max="69" width="6.5703125" bestFit="1" customWidth="1"/>
    <col min="70" max="70" width="7.140625" bestFit="1" customWidth="1"/>
    <col min="71" max="71" width="7.7109375" bestFit="1" customWidth="1"/>
    <col min="72" max="72" width="7.85546875" bestFit="1" customWidth="1"/>
    <col min="73" max="73" width="6" bestFit="1" customWidth="1"/>
    <col min="74" max="74" width="6.5703125" bestFit="1" customWidth="1"/>
    <col min="75" max="75" width="7.140625" bestFit="1" customWidth="1"/>
    <col min="76" max="76" width="7.7109375" bestFit="1" customWidth="1"/>
    <col min="77" max="77" width="7.85546875" bestFit="1" customWidth="1"/>
    <col min="78" max="78" width="6" bestFit="1" customWidth="1"/>
    <col min="79" max="79" width="6.5703125" bestFit="1" customWidth="1"/>
    <col min="80" max="80" width="7.140625" bestFit="1" customWidth="1"/>
    <col min="81" max="81" width="7.7109375" bestFit="1" customWidth="1"/>
    <col min="82" max="82" width="7.85546875" bestFit="1" customWidth="1"/>
    <col min="83" max="83" width="6" bestFit="1" customWidth="1"/>
    <col min="84" max="84" width="6.5703125" bestFit="1" customWidth="1"/>
    <col min="85" max="85" width="7.140625" bestFit="1" customWidth="1"/>
    <col min="86" max="86" width="7.7109375" bestFit="1" customWidth="1"/>
    <col min="87" max="87" width="7.85546875" bestFit="1" customWidth="1"/>
    <col min="88" max="88" width="6" bestFit="1" customWidth="1"/>
    <col min="89" max="89" width="6.5703125" bestFit="1" customWidth="1"/>
    <col min="90" max="90" width="7.140625" bestFit="1" customWidth="1"/>
    <col min="91" max="91" width="7.7109375" bestFit="1" customWidth="1"/>
    <col min="92" max="92" width="7.85546875" bestFit="1" customWidth="1"/>
    <col min="93" max="93" width="6" bestFit="1" customWidth="1"/>
    <col min="94" max="94" width="6.5703125" bestFit="1" customWidth="1"/>
    <col min="95" max="95" width="7.140625" bestFit="1" customWidth="1"/>
    <col min="96" max="96" width="7.7109375" bestFit="1" customWidth="1"/>
    <col min="97" max="97" width="7.85546875" bestFit="1" customWidth="1"/>
    <col min="98" max="98" width="6" bestFit="1" customWidth="1"/>
    <col min="99" max="99" width="6.5703125" bestFit="1" customWidth="1"/>
    <col min="100" max="100" width="7.140625" bestFit="1" customWidth="1"/>
    <col min="101" max="101" width="7.7109375" bestFit="1" customWidth="1"/>
    <col min="102" max="102" width="7.85546875" bestFit="1" customWidth="1"/>
    <col min="103" max="103" width="6" bestFit="1" customWidth="1"/>
    <col min="104" max="104" width="6.5703125" bestFit="1" customWidth="1"/>
    <col min="105" max="105" width="7.140625" bestFit="1" customWidth="1"/>
    <col min="106" max="106" width="7.7109375" bestFit="1" customWidth="1"/>
    <col min="107" max="107" width="7.85546875" bestFit="1" customWidth="1"/>
    <col min="108" max="112" width="10.42578125" customWidth="1"/>
    <col min="113" max="132" width="10.7109375" customWidth="1"/>
  </cols>
  <sheetData>
    <row r="1" spans="1:132" ht="13.5" thickBot="1">
      <c r="C1" s="757" t="s">
        <v>487</v>
      </c>
      <c r="D1" s="758"/>
      <c r="E1" s="758"/>
      <c r="F1" s="758"/>
      <c r="G1" s="759"/>
      <c r="H1" s="757" t="s">
        <v>492</v>
      </c>
      <c r="I1" s="758"/>
      <c r="J1" s="758"/>
      <c r="K1" s="758"/>
      <c r="L1" s="759"/>
      <c r="M1" s="757" t="s">
        <v>498</v>
      </c>
      <c r="N1" s="758"/>
      <c r="O1" s="758"/>
      <c r="P1" s="758"/>
      <c r="Q1" s="759"/>
      <c r="R1" s="757" t="s">
        <v>469</v>
      </c>
      <c r="S1" s="758"/>
      <c r="T1" s="758"/>
      <c r="U1" s="758"/>
      <c r="V1" s="759"/>
      <c r="W1" s="757" t="s">
        <v>469</v>
      </c>
      <c r="X1" s="758"/>
      <c r="Y1" s="758"/>
      <c r="Z1" s="758"/>
      <c r="AA1" s="759"/>
      <c r="AB1" s="757" t="s">
        <v>471</v>
      </c>
      <c r="AC1" s="758"/>
      <c r="AD1" s="758"/>
      <c r="AE1" s="758"/>
      <c r="AF1" s="759"/>
      <c r="AG1" s="757" t="s">
        <v>497</v>
      </c>
      <c r="AH1" s="758"/>
      <c r="AI1" s="758"/>
      <c r="AJ1" s="758"/>
      <c r="AK1" s="759"/>
      <c r="AL1" s="757" t="s">
        <v>505</v>
      </c>
      <c r="AM1" s="758"/>
      <c r="AN1" s="758"/>
      <c r="AO1" s="758"/>
      <c r="AP1" s="759"/>
      <c r="AQ1" s="757" t="s">
        <v>506</v>
      </c>
      <c r="AR1" s="758"/>
      <c r="AS1" s="758"/>
      <c r="AT1" s="758"/>
      <c r="AU1" s="759"/>
      <c r="AV1" s="757" t="s">
        <v>507</v>
      </c>
      <c r="AW1" s="758"/>
      <c r="AX1" s="758"/>
      <c r="AY1" s="758"/>
      <c r="AZ1" s="759"/>
      <c r="BA1" s="757" t="s">
        <v>508</v>
      </c>
      <c r="BB1" s="758"/>
      <c r="BC1" s="758"/>
      <c r="BD1" s="758"/>
      <c r="BE1" s="759"/>
      <c r="BF1" s="757" t="s">
        <v>509</v>
      </c>
      <c r="BG1" s="758"/>
      <c r="BH1" s="758"/>
      <c r="BI1" s="758"/>
      <c r="BJ1" s="759"/>
      <c r="BK1" s="757" t="s">
        <v>510</v>
      </c>
      <c r="BL1" s="758"/>
      <c r="BM1" s="758"/>
      <c r="BN1" s="758"/>
      <c r="BO1" s="759"/>
      <c r="BP1" s="757" t="s">
        <v>511</v>
      </c>
      <c r="BQ1" s="758"/>
      <c r="BR1" s="758"/>
      <c r="BS1" s="758"/>
      <c r="BT1" s="759"/>
      <c r="BU1" s="757" t="s">
        <v>512</v>
      </c>
      <c r="BV1" s="758"/>
      <c r="BW1" s="758"/>
      <c r="BX1" s="758"/>
      <c r="BY1" s="759"/>
      <c r="BZ1" s="757" t="s">
        <v>513</v>
      </c>
      <c r="CA1" s="758"/>
      <c r="CB1" s="758"/>
      <c r="CC1" s="758"/>
      <c r="CD1" s="759"/>
      <c r="CE1" s="757" t="s">
        <v>514</v>
      </c>
      <c r="CF1" s="758"/>
      <c r="CG1" s="758"/>
      <c r="CH1" s="758"/>
      <c r="CI1" s="759"/>
      <c r="CJ1" s="757" t="s">
        <v>515</v>
      </c>
      <c r="CK1" s="758"/>
      <c r="CL1" s="758"/>
      <c r="CM1" s="758"/>
      <c r="CN1" s="759"/>
      <c r="CO1" s="757" t="s">
        <v>522</v>
      </c>
      <c r="CP1" s="758"/>
      <c r="CQ1" s="758"/>
      <c r="CR1" s="758"/>
      <c r="CS1" s="759"/>
      <c r="CT1" s="757" t="s">
        <v>521</v>
      </c>
      <c r="CU1" s="758"/>
      <c r="CV1" s="758"/>
      <c r="CW1" s="758"/>
      <c r="CX1" s="759"/>
      <c r="CY1" s="757" t="s">
        <v>518</v>
      </c>
      <c r="CZ1" s="758"/>
      <c r="DA1" s="758"/>
      <c r="DB1" s="758"/>
      <c r="DC1" s="759"/>
      <c r="DD1" s="757" t="s">
        <v>520</v>
      </c>
      <c r="DE1" s="758"/>
      <c r="DF1" s="758"/>
      <c r="DG1" s="758"/>
      <c r="DH1" s="759"/>
      <c r="DI1" s="757" t="s">
        <v>519</v>
      </c>
      <c r="DJ1" s="758"/>
      <c r="DK1" s="758"/>
      <c r="DL1" s="758"/>
      <c r="DM1" s="759"/>
      <c r="DN1" s="757" t="s">
        <v>523</v>
      </c>
      <c r="DO1" s="758"/>
      <c r="DP1" s="758"/>
      <c r="DQ1" s="758"/>
      <c r="DR1" s="759"/>
      <c r="DS1" s="757" t="s">
        <v>524</v>
      </c>
      <c r="DT1" s="758"/>
      <c r="DU1" s="758"/>
      <c r="DV1" s="758"/>
      <c r="DW1" s="759"/>
      <c r="DX1" s="757" t="s">
        <v>525</v>
      </c>
      <c r="DY1" s="758"/>
      <c r="DZ1" s="758"/>
      <c r="EA1" s="758"/>
      <c r="EB1" s="759"/>
    </row>
    <row r="2" spans="1:132" ht="15">
      <c r="A2" s="273" t="s">
        <v>423</v>
      </c>
      <c r="B2" s="273" t="s">
        <v>424</v>
      </c>
      <c r="C2" s="281" t="s">
        <v>466</v>
      </c>
      <c r="D2" s="281" t="s">
        <v>488</v>
      </c>
      <c r="E2" s="281" t="s">
        <v>489</v>
      </c>
      <c r="F2" s="281" t="s">
        <v>490</v>
      </c>
      <c r="G2" s="281" t="s">
        <v>491</v>
      </c>
      <c r="H2" s="281" t="s">
        <v>467</v>
      </c>
      <c r="I2" s="281" t="s">
        <v>488</v>
      </c>
      <c r="J2" s="281" t="s">
        <v>489</v>
      </c>
      <c r="K2" s="281" t="s">
        <v>490</v>
      </c>
      <c r="L2" s="281" t="s">
        <v>491</v>
      </c>
      <c r="M2" s="274" t="s">
        <v>468</v>
      </c>
      <c r="N2" s="281" t="s">
        <v>488</v>
      </c>
      <c r="O2" s="281" t="s">
        <v>489</v>
      </c>
      <c r="P2" s="281" t="s">
        <v>490</v>
      </c>
      <c r="Q2" s="281" t="s">
        <v>491</v>
      </c>
      <c r="R2" s="274" t="s">
        <v>469</v>
      </c>
      <c r="S2" s="281" t="s">
        <v>488</v>
      </c>
      <c r="T2" s="281" t="s">
        <v>489</v>
      </c>
      <c r="U2" s="281" t="s">
        <v>490</v>
      </c>
      <c r="V2" s="281" t="s">
        <v>491</v>
      </c>
      <c r="W2" s="273" t="s">
        <v>470</v>
      </c>
      <c r="X2" s="281" t="s">
        <v>488</v>
      </c>
      <c r="Y2" s="281" t="s">
        <v>489</v>
      </c>
      <c r="Z2" s="281" t="s">
        <v>490</v>
      </c>
      <c r="AA2" s="281" t="s">
        <v>491</v>
      </c>
      <c r="AB2" s="274" t="s">
        <v>471</v>
      </c>
      <c r="AC2" s="281" t="s">
        <v>488</v>
      </c>
      <c r="AD2" s="281" t="s">
        <v>489</v>
      </c>
      <c r="AE2" s="281" t="s">
        <v>490</v>
      </c>
      <c r="AF2" s="281" t="s">
        <v>491</v>
      </c>
      <c r="AG2" s="274" t="s">
        <v>496</v>
      </c>
      <c r="AH2" s="281" t="s">
        <v>488</v>
      </c>
      <c r="AI2" s="281" t="s">
        <v>489</v>
      </c>
      <c r="AJ2" s="281" t="s">
        <v>490</v>
      </c>
      <c r="AK2" s="281" t="s">
        <v>491</v>
      </c>
      <c r="AL2" s="274" t="s">
        <v>113</v>
      </c>
      <c r="AM2" s="281" t="s">
        <v>488</v>
      </c>
      <c r="AN2" s="281" t="s">
        <v>489</v>
      </c>
      <c r="AO2" s="281" t="s">
        <v>490</v>
      </c>
      <c r="AP2" s="281" t="s">
        <v>491</v>
      </c>
      <c r="AQ2" s="274" t="s">
        <v>113</v>
      </c>
      <c r="AR2" s="281" t="s">
        <v>488</v>
      </c>
      <c r="AS2" s="281" t="s">
        <v>489</v>
      </c>
      <c r="AT2" s="281" t="s">
        <v>490</v>
      </c>
      <c r="AU2" s="281" t="s">
        <v>491</v>
      </c>
      <c r="AV2" s="274" t="s">
        <v>113</v>
      </c>
      <c r="AW2" s="281" t="s">
        <v>488</v>
      </c>
      <c r="AX2" s="281" t="s">
        <v>489</v>
      </c>
      <c r="AY2" s="281" t="s">
        <v>490</v>
      </c>
      <c r="AZ2" s="281" t="s">
        <v>491</v>
      </c>
      <c r="BA2" s="283" t="s">
        <v>516</v>
      </c>
      <c r="BB2" s="283" t="s">
        <v>488</v>
      </c>
      <c r="BC2" s="283" t="s">
        <v>489</v>
      </c>
      <c r="BD2" s="283" t="s">
        <v>490</v>
      </c>
      <c r="BE2" s="283" t="s">
        <v>491</v>
      </c>
      <c r="BF2" s="283" t="s">
        <v>516</v>
      </c>
      <c r="BG2" s="283" t="s">
        <v>488</v>
      </c>
      <c r="BH2" s="283" t="s">
        <v>489</v>
      </c>
      <c r="BI2" s="283" t="s">
        <v>490</v>
      </c>
      <c r="BJ2" s="283" t="s">
        <v>491</v>
      </c>
      <c r="BK2" s="283" t="s">
        <v>516</v>
      </c>
      <c r="BL2" s="283" t="s">
        <v>488</v>
      </c>
      <c r="BM2" s="283" t="s">
        <v>489</v>
      </c>
      <c r="BN2" s="283" t="s">
        <v>490</v>
      </c>
      <c r="BO2" s="283" t="s">
        <v>491</v>
      </c>
      <c r="BP2" s="283" t="s">
        <v>516</v>
      </c>
      <c r="BQ2" s="283" t="s">
        <v>488</v>
      </c>
      <c r="BR2" s="283" t="s">
        <v>489</v>
      </c>
      <c r="BS2" s="283" t="s">
        <v>490</v>
      </c>
      <c r="BT2" s="283" t="s">
        <v>491</v>
      </c>
      <c r="BU2" s="283" t="s">
        <v>516</v>
      </c>
      <c r="BV2" s="283" t="s">
        <v>488</v>
      </c>
      <c r="BW2" s="283" t="s">
        <v>489</v>
      </c>
      <c r="BX2" s="283" t="s">
        <v>490</v>
      </c>
      <c r="BY2" s="283" t="s">
        <v>491</v>
      </c>
      <c r="BZ2" s="283" t="s">
        <v>516</v>
      </c>
      <c r="CA2" s="283" t="s">
        <v>488</v>
      </c>
      <c r="CB2" s="283" t="s">
        <v>489</v>
      </c>
      <c r="CC2" s="283" t="s">
        <v>490</v>
      </c>
      <c r="CD2" s="283" t="s">
        <v>491</v>
      </c>
      <c r="CE2" s="283" t="s">
        <v>516</v>
      </c>
      <c r="CF2" s="283" t="s">
        <v>488</v>
      </c>
      <c r="CG2" s="283" t="s">
        <v>489</v>
      </c>
      <c r="CH2" s="283" t="s">
        <v>490</v>
      </c>
      <c r="CI2" s="283" t="s">
        <v>491</v>
      </c>
      <c r="CJ2" s="283" t="s">
        <v>516</v>
      </c>
      <c r="CK2" s="283" t="s">
        <v>488</v>
      </c>
      <c r="CL2" s="283" t="s">
        <v>489</v>
      </c>
      <c r="CM2" s="283" t="s">
        <v>490</v>
      </c>
      <c r="CN2" s="283" t="s">
        <v>491</v>
      </c>
      <c r="CO2" s="283" t="s">
        <v>516</v>
      </c>
      <c r="CP2" s="283" t="s">
        <v>488</v>
      </c>
      <c r="CQ2" s="283" t="s">
        <v>489</v>
      </c>
      <c r="CR2" s="283" t="s">
        <v>490</v>
      </c>
      <c r="CS2" s="283" t="s">
        <v>491</v>
      </c>
      <c r="CT2" s="283" t="s">
        <v>516</v>
      </c>
      <c r="CU2" s="283" t="s">
        <v>488</v>
      </c>
      <c r="CV2" s="283" t="s">
        <v>489</v>
      </c>
      <c r="CW2" s="283" t="s">
        <v>490</v>
      </c>
      <c r="CX2" s="283" t="s">
        <v>491</v>
      </c>
      <c r="CY2" s="283" t="s">
        <v>516</v>
      </c>
      <c r="CZ2" s="283" t="s">
        <v>488</v>
      </c>
      <c r="DA2" s="283" t="s">
        <v>489</v>
      </c>
      <c r="DB2" s="283" t="s">
        <v>490</v>
      </c>
      <c r="DC2" s="283" t="s">
        <v>491</v>
      </c>
      <c r="DD2" s="283" t="s">
        <v>516</v>
      </c>
      <c r="DE2" s="283" t="s">
        <v>488</v>
      </c>
      <c r="DF2" s="283" t="s">
        <v>489</v>
      </c>
      <c r="DG2" s="283" t="s">
        <v>490</v>
      </c>
      <c r="DH2" s="283" t="s">
        <v>491</v>
      </c>
      <c r="DI2" s="283" t="s">
        <v>516</v>
      </c>
      <c r="DJ2" s="283" t="s">
        <v>488</v>
      </c>
      <c r="DK2" s="283" t="s">
        <v>489</v>
      </c>
      <c r="DL2" s="283" t="s">
        <v>490</v>
      </c>
      <c r="DM2" s="283" t="s">
        <v>491</v>
      </c>
      <c r="DN2" s="283" t="s">
        <v>516</v>
      </c>
      <c r="DO2" s="283" t="s">
        <v>488</v>
      </c>
      <c r="DP2" s="283" t="s">
        <v>489</v>
      </c>
      <c r="DQ2" s="283" t="s">
        <v>490</v>
      </c>
      <c r="DR2" s="283" t="s">
        <v>491</v>
      </c>
      <c r="DS2" s="283" t="s">
        <v>516</v>
      </c>
      <c r="DT2" s="283" t="s">
        <v>488</v>
      </c>
      <c r="DU2" s="283" t="s">
        <v>489</v>
      </c>
      <c r="DV2" s="283" t="s">
        <v>490</v>
      </c>
      <c r="DW2" s="283" t="s">
        <v>491</v>
      </c>
      <c r="DX2" s="283" t="s">
        <v>516</v>
      </c>
      <c r="DY2" s="283" t="s">
        <v>488</v>
      </c>
      <c r="DZ2" s="283" t="s">
        <v>489</v>
      </c>
      <c r="EA2" s="283" t="s">
        <v>490</v>
      </c>
      <c r="EB2" s="283" t="s">
        <v>491</v>
      </c>
    </row>
    <row r="3" spans="1:132" ht="15">
      <c r="A3" s="578" t="s">
        <v>267</v>
      </c>
      <c r="B3" s="579" t="s">
        <v>267</v>
      </c>
      <c r="C3" s="580">
        <f>+SUM(C4:C11)</f>
        <v>2203</v>
      </c>
      <c r="D3" s="580">
        <f>+SUM(D4:D11)</f>
        <v>552</v>
      </c>
      <c r="E3" s="580">
        <f t="shared" ref="E3:F3" si="0">+SUM(E4:E11)</f>
        <v>552</v>
      </c>
      <c r="F3" s="580">
        <f t="shared" si="0"/>
        <v>552</v>
      </c>
      <c r="G3" s="580">
        <f>+SUM(G4:G11)</f>
        <v>552</v>
      </c>
      <c r="H3" s="580">
        <f>+SUM(H4:H11)</f>
        <v>2437</v>
      </c>
      <c r="I3" s="580">
        <f>+SUM(I4:I11)</f>
        <v>610</v>
      </c>
      <c r="J3" s="580">
        <f t="shared" ref="J3:BS3" si="1">+SUM(J4:J11)</f>
        <v>610</v>
      </c>
      <c r="K3" s="580">
        <f t="shared" si="1"/>
        <v>610</v>
      </c>
      <c r="L3" s="580">
        <f t="shared" si="1"/>
        <v>610</v>
      </c>
      <c r="M3" s="580">
        <f t="shared" si="1"/>
        <v>0</v>
      </c>
      <c r="N3" s="580">
        <f t="shared" si="1"/>
        <v>0</v>
      </c>
      <c r="O3" s="580">
        <f t="shared" si="1"/>
        <v>0</v>
      </c>
      <c r="P3" s="580">
        <f t="shared" si="1"/>
        <v>0</v>
      </c>
      <c r="Q3" s="580">
        <f t="shared" si="1"/>
        <v>0</v>
      </c>
      <c r="R3" s="580">
        <f t="shared" si="1"/>
        <v>0</v>
      </c>
      <c r="S3" s="580">
        <f t="shared" si="1"/>
        <v>0</v>
      </c>
      <c r="T3" s="580">
        <f t="shared" si="1"/>
        <v>0</v>
      </c>
      <c r="U3" s="580">
        <f t="shared" si="1"/>
        <v>0</v>
      </c>
      <c r="V3" s="580">
        <f t="shared" si="1"/>
        <v>0</v>
      </c>
      <c r="W3" s="580">
        <f t="shared" si="1"/>
        <v>0</v>
      </c>
      <c r="X3" s="580">
        <f t="shared" si="1"/>
        <v>0</v>
      </c>
      <c r="Y3" s="580">
        <f t="shared" si="1"/>
        <v>0</v>
      </c>
      <c r="Z3" s="580">
        <f t="shared" si="1"/>
        <v>0</v>
      </c>
      <c r="AA3" s="580">
        <f t="shared" si="1"/>
        <v>0</v>
      </c>
      <c r="AB3" s="580">
        <f t="shared" si="1"/>
        <v>0</v>
      </c>
      <c r="AC3" s="580">
        <f t="shared" si="1"/>
        <v>0</v>
      </c>
      <c r="AD3" s="580">
        <f t="shared" si="1"/>
        <v>0</v>
      </c>
      <c r="AE3" s="580">
        <f t="shared" si="1"/>
        <v>0</v>
      </c>
      <c r="AF3" s="580">
        <f t="shared" si="1"/>
        <v>0</v>
      </c>
      <c r="AG3" s="580">
        <f t="shared" si="1"/>
        <v>0</v>
      </c>
      <c r="AH3" s="580">
        <f t="shared" si="1"/>
        <v>0</v>
      </c>
      <c r="AI3" s="580">
        <f t="shared" si="1"/>
        <v>0</v>
      </c>
      <c r="AJ3" s="580">
        <f t="shared" si="1"/>
        <v>0</v>
      </c>
      <c r="AK3" s="580">
        <f t="shared" si="1"/>
        <v>0</v>
      </c>
      <c r="AL3" s="580">
        <f t="shared" si="1"/>
        <v>0</v>
      </c>
      <c r="AM3" s="580">
        <f>+SUM(AM4:AM11)</f>
        <v>0</v>
      </c>
      <c r="AN3" s="580">
        <f>+SUM(AN4:AN11)</f>
        <v>0</v>
      </c>
      <c r="AO3" s="580">
        <f t="shared" si="1"/>
        <v>0</v>
      </c>
      <c r="AP3" s="580">
        <f t="shared" si="1"/>
        <v>0</v>
      </c>
      <c r="AQ3" s="580">
        <f t="shared" si="1"/>
        <v>0</v>
      </c>
      <c r="AR3" s="580">
        <f t="shared" si="1"/>
        <v>0</v>
      </c>
      <c r="AS3" s="580">
        <f t="shared" si="1"/>
        <v>0</v>
      </c>
      <c r="AT3" s="580">
        <f t="shared" si="1"/>
        <v>0</v>
      </c>
      <c r="AU3" s="580">
        <f t="shared" si="1"/>
        <v>0</v>
      </c>
      <c r="AV3" s="580">
        <f t="shared" si="1"/>
        <v>813</v>
      </c>
      <c r="AW3" s="580">
        <f>+SUM(AW4:AW11)</f>
        <v>405</v>
      </c>
      <c r="AX3" s="580">
        <f>+SUM(AX4:AX11)</f>
        <v>408</v>
      </c>
      <c r="AY3" s="580">
        <f t="shared" si="1"/>
        <v>0</v>
      </c>
      <c r="AZ3" s="580">
        <f t="shared" si="1"/>
        <v>0</v>
      </c>
      <c r="BA3" s="580">
        <f t="shared" si="1"/>
        <v>235</v>
      </c>
      <c r="BB3" s="580">
        <f t="shared" si="1"/>
        <v>148</v>
      </c>
      <c r="BC3" s="580">
        <f t="shared" si="1"/>
        <v>87</v>
      </c>
      <c r="BD3" s="580">
        <f t="shared" si="1"/>
        <v>0</v>
      </c>
      <c r="BE3" s="580">
        <f t="shared" si="1"/>
        <v>0</v>
      </c>
      <c r="BF3" s="580">
        <f t="shared" si="1"/>
        <v>2490</v>
      </c>
      <c r="BG3" s="580">
        <f t="shared" si="1"/>
        <v>1357</v>
      </c>
      <c r="BH3" s="580">
        <f t="shared" si="1"/>
        <v>1133</v>
      </c>
      <c r="BI3" s="580">
        <f t="shared" si="1"/>
        <v>0</v>
      </c>
      <c r="BJ3" s="580">
        <f t="shared" si="1"/>
        <v>0</v>
      </c>
      <c r="BK3" s="580">
        <f t="shared" si="1"/>
        <v>3819</v>
      </c>
      <c r="BL3" s="580">
        <f t="shared" si="1"/>
        <v>3132</v>
      </c>
      <c r="BM3" s="580">
        <f t="shared" si="1"/>
        <v>687</v>
      </c>
      <c r="BN3" s="580">
        <f t="shared" si="1"/>
        <v>0</v>
      </c>
      <c r="BO3" s="580">
        <f t="shared" si="1"/>
        <v>0</v>
      </c>
      <c r="BP3" s="580">
        <f t="shared" si="1"/>
        <v>1282</v>
      </c>
      <c r="BQ3" s="580">
        <f t="shared" si="1"/>
        <v>1102</v>
      </c>
      <c r="BR3" s="580">
        <f t="shared" si="1"/>
        <v>180</v>
      </c>
      <c r="BS3" s="580">
        <f t="shared" si="1"/>
        <v>0</v>
      </c>
      <c r="BT3" s="580">
        <f t="shared" ref="BT3:EB3" si="2">+SUM(BT4:BT11)</f>
        <v>0</v>
      </c>
      <c r="BU3" s="580">
        <f t="shared" si="2"/>
        <v>464</v>
      </c>
      <c r="BV3" s="580">
        <f t="shared" si="2"/>
        <v>321</v>
      </c>
      <c r="BW3" s="580">
        <f t="shared" si="2"/>
        <v>321</v>
      </c>
      <c r="BX3" s="580">
        <f t="shared" si="2"/>
        <v>321</v>
      </c>
      <c r="BY3" s="580">
        <f t="shared" si="2"/>
        <v>321</v>
      </c>
      <c r="BZ3" s="580">
        <f t="shared" si="2"/>
        <v>534</v>
      </c>
      <c r="CA3" s="580">
        <f t="shared" si="2"/>
        <v>116</v>
      </c>
      <c r="CB3" s="580">
        <f t="shared" si="2"/>
        <v>116</v>
      </c>
      <c r="CC3" s="580">
        <f t="shared" si="2"/>
        <v>116</v>
      </c>
      <c r="CD3" s="580">
        <f t="shared" si="2"/>
        <v>116</v>
      </c>
      <c r="CE3" s="580">
        <f t="shared" si="2"/>
        <v>1158</v>
      </c>
      <c r="CF3" s="580">
        <f t="shared" si="2"/>
        <v>129</v>
      </c>
      <c r="CG3" s="580">
        <f t="shared" si="2"/>
        <v>1029</v>
      </c>
      <c r="CH3" s="580">
        <f t="shared" si="2"/>
        <v>0</v>
      </c>
      <c r="CI3" s="580">
        <f t="shared" si="2"/>
        <v>0</v>
      </c>
      <c r="CJ3" s="580">
        <f t="shared" si="2"/>
        <v>3052</v>
      </c>
      <c r="CK3" s="580">
        <f t="shared" si="2"/>
        <v>1434</v>
      </c>
      <c r="CL3" s="580">
        <f t="shared" si="2"/>
        <v>1618</v>
      </c>
      <c r="CM3" s="580">
        <f t="shared" si="2"/>
        <v>0</v>
      </c>
      <c r="CN3" s="580">
        <f t="shared" si="2"/>
        <v>0</v>
      </c>
      <c r="CO3" s="580">
        <f t="shared" si="2"/>
        <v>2339</v>
      </c>
      <c r="CP3" s="580">
        <f t="shared" si="2"/>
        <v>1225</v>
      </c>
      <c r="CQ3" s="580">
        <f t="shared" si="2"/>
        <v>1114</v>
      </c>
      <c r="CR3" s="580">
        <f t="shared" si="2"/>
        <v>0</v>
      </c>
      <c r="CS3" s="580">
        <f t="shared" si="2"/>
        <v>0</v>
      </c>
      <c r="CT3" s="580">
        <f t="shared" si="2"/>
        <v>380</v>
      </c>
      <c r="CU3" s="580">
        <f t="shared" si="2"/>
        <v>95</v>
      </c>
      <c r="CV3" s="580">
        <f t="shared" si="2"/>
        <v>95</v>
      </c>
      <c r="CW3" s="580">
        <f t="shared" si="2"/>
        <v>95</v>
      </c>
      <c r="CX3" s="580">
        <f t="shared" si="2"/>
        <v>95</v>
      </c>
      <c r="CY3" s="580">
        <f t="shared" si="2"/>
        <v>10804</v>
      </c>
      <c r="CZ3" s="580">
        <f t="shared" si="2"/>
        <v>5402</v>
      </c>
      <c r="DA3" s="580">
        <f t="shared" si="2"/>
        <v>5402</v>
      </c>
      <c r="DB3" s="580">
        <f t="shared" si="2"/>
        <v>0</v>
      </c>
      <c r="DC3" s="580">
        <f t="shared" si="2"/>
        <v>0</v>
      </c>
      <c r="DD3" s="580">
        <f t="shared" si="2"/>
        <v>363</v>
      </c>
      <c r="DE3" s="580">
        <f t="shared" si="2"/>
        <v>265</v>
      </c>
      <c r="DF3" s="580">
        <f t="shared" si="2"/>
        <v>98</v>
      </c>
      <c r="DG3" s="580">
        <f t="shared" si="2"/>
        <v>0</v>
      </c>
      <c r="DH3" s="580">
        <f t="shared" si="2"/>
        <v>0</v>
      </c>
      <c r="DI3" s="580">
        <f t="shared" si="2"/>
        <v>80</v>
      </c>
      <c r="DJ3" s="580">
        <f t="shared" si="2"/>
        <v>20</v>
      </c>
      <c r="DK3" s="580">
        <f t="shared" si="2"/>
        <v>20</v>
      </c>
      <c r="DL3" s="580">
        <f t="shared" si="2"/>
        <v>20</v>
      </c>
      <c r="DM3" s="580">
        <f t="shared" si="2"/>
        <v>20</v>
      </c>
      <c r="DN3" s="580">
        <f t="shared" si="2"/>
        <v>210</v>
      </c>
      <c r="DO3" s="580">
        <f t="shared" si="2"/>
        <v>100</v>
      </c>
      <c r="DP3" s="580">
        <f t="shared" si="2"/>
        <v>110</v>
      </c>
      <c r="DQ3" s="580">
        <f t="shared" si="2"/>
        <v>0</v>
      </c>
      <c r="DR3" s="580">
        <f t="shared" si="2"/>
        <v>0</v>
      </c>
      <c r="DS3" s="580">
        <f t="shared" si="2"/>
        <v>45222</v>
      </c>
      <c r="DT3" s="580">
        <f t="shared" si="2"/>
        <v>11306</v>
      </c>
      <c r="DU3" s="580">
        <f t="shared" si="2"/>
        <v>11306</v>
      </c>
      <c r="DV3" s="580">
        <f t="shared" si="2"/>
        <v>11306</v>
      </c>
      <c r="DW3" s="580">
        <f t="shared" si="2"/>
        <v>11306</v>
      </c>
      <c r="DX3" s="580">
        <f t="shared" si="2"/>
        <v>84370</v>
      </c>
      <c r="DY3" s="580">
        <f t="shared" si="2"/>
        <v>39741</v>
      </c>
      <c r="DZ3" s="580">
        <f t="shared" si="2"/>
        <v>44629</v>
      </c>
      <c r="EA3" s="580">
        <f t="shared" si="2"/>
        <v>0</v>
      </c>
      <c r="EB3" s="580">
        <f t="shared" si="2"/>
        <v>0</v>
      </c>
    </row>
    <row r="4" spans="1:132" ht="15">
      <c r="A4" s="275" t="s">
        <v>267</v>
      </c>
      <c r="B4" t="s">
        <v>444</v>
      </c>
      <c r="C4" s="580">
        <v>872</v>
      </c>
      <c r="D4" s="276">
        <f t="shared" ref="D4:D11" si="3">ROUND($C4/4,0)</f>
        <v>218</v>
      </c>
      <c r="E4" s="276">
        <f t="shared" ref="E4:G11" si="4">ROUND($C4/4,0)</f>
        <v>218</v>
      </c>
      <c r="F4" s="276">
        <f t="shared" si="4"/>
        <v>218</v>
      </c>
      <c r="G4" s="276">
        <f t="shared" si="4"/>
        <v>218</v>
      </c>
      <c r="H4" s="580">
        <v>1021</v>
      </c>
      <c r="I4" s="276">
        <f t="shared" ref="I4:I11" si="5">ROUND($H4/4,0)</f>
        <v>255</v>
      </c>
      <c r="J4" s="276">
        <f t="shared" ref="J4:L11" si="6">ROUND($H4/4,0)</f>
        <v>255</v>
      </c>
      <c r="K4" s="276">
        <f t="shared" si="6"/>
        <v>255</v>
      </c>
      <c r="L4" s="276">
        <f t="shared" si="6"/>
        <v>255</v>
      </c>
      <c r="M4" s="581"/>
      <c r="N4" s="276">
        <f t="shared" ref="N4:N11" si="7">ROUND($M4/4,0)</f>
        <v>0</v>
      </c>
      <c r="O4" s="276">
        <f t="shared" ref="O4:Q11" si="8">ROUND($M4/4,0)</f>
        <v>0</v>
      </c>
      <c r="P4" s="276">
        <f t="shared" si="8"/>
        <v>0</v>
      </c>
      <c r="Q4" s="276">
        <f t="shared" si="8"/>
        <v>0</v>
      </c>
      <c r="R4" s="581"/>
      <c r="S4" s="276">
        <f t="shared" ref="S4:S11" si="9">ROUND($R4/4,0)</f>
        <v>0</v>
      </c>
      <c r="T4" s="276">
        <f t="shared" ref="T4:V11" si="10">ROUND($R4/4,0)</f>
        <v>0</v>
      </c>
      <c r="U4" s="276">
        <f t="shared" si="10"/>
        <v>0</v>
      </c>
      <c r="V4" s="276">
        <f t="shared" si="10"/>
        <v>0</v>
      </c>
      <c r="W4" s="580"/>
      <c r="X4" s="276">
        <f t="shared" ref="X4:X11" si="11">ROUND($W4/4,0)</f>
        <v>0</v>
      </c>
      <c r="Y4" s="276">
        <f t="shared" ref="Y4:AA11" si="12">ROUND($W4/4,0)</f>
        <v>0</v>
      </c>
      <c r="Z4" s="276">
        <f t="shared" si="12"/>
        <v>0</v>
      </c>
      <c r="AA4" s="276">
        <f t="shared" si="12"/>
        <v>0</v>
      </c>
      <c r="AB4" s="580"/>
      <c r="AC4" s="276">
        <f t="shared" ref="AC4:AC11" si="13">ROUND($AB4/4,0)</f>
        <v>0</v>
      </c>
      <c r="AD4" s="276">
        <f t="shared" ref="AD4:AF11" si="14">ROUND($AB4/4,0)</f>
        <v>0</v>
      </c>
      <c r="AE4" s="276">
        <f t="shared" si="14"/>
        <v>0</v>
      </c>
      <c r="AF4" s="276">
        <f t="shared" si="14"/>
        <v>0</v>
      </c>
      <c r="AG4" s="580"/>
      <c r="AH4" s="276">
        <f t="shared" ref="AH4:AH11" si="15">ROUND($AG4/4,0)</f>
        <v>0</v>
      </c>
      <c r="AI4" s="276">
        <f t="shared" ref="AI4:AK11" si="16">ROUND($AG4/4,0)</f>
        <v>0</v>
      </c>
      <c r="AJ4" s="276">
        <f t="shared" si="16"/>
        <v>0</v>
      </c>
      <c r="AK4" s="276">
        <f t="shared" si="16"/>
        <v>0</v>
      </c>
      <c r="AL4" s="580">
        <f t="shared" ref="AL4:AL5" si="17">+SUM(AM4:AP4)</f>
        <v>0</v>
      </c>
      <c r="AM4" s="276"/>
      <c r="AN4" s="276"/>
      <c r="AO4" s="92"/>
      <c r="AP4" s="92"/>
      <c r="AQ4" s="580">
        <f t="shared" ref="AQ4:AQ11" si="18">+SUM(AR4:AU4)</f>
        <v>0</v>
      </c>
      <c r="AR4" s="276"/>
      <c r="AS4" s="276"/>
      <c r="AT4" s="276"/>
      <c r="AU4" s="276"/>
      <c r="AV4" s="580">
        <f t="shared" ref="AV4:AV11" si="19">+SUM(AW4:AZ4)</f>
        <v>351</v>
      </c>
      <c r="AW4" s="276">
        <v>176</v>
      </c>
      <c r="AX4" s="276">
        <v>175</v>
      </c>
      <c r="AY4" s="276"/>
      <c r="AZ4" s="276"/>
      <c r="BA4" s="580">
        <f t="shared" ref="BA4:BA5" si="20">+SUM(BB4:BE4)</f>
        <v>101</v>
      </c>
      <c r="BB4" s="92">
        <v>64</v>
      </c>
      <c r="BC4" s="92">
        <v>37</v>
      </c>
      <c r="BD4" s="92"/>
      <c r="BE4" s="92"/>
      <c r="BF4" s="92">
        <v>959</v>
      </c>
      <c r="BG4" s="92">
        <v>595</v>
      </c>
      <c r="BH4" s="92">
        <v>364</v>
      </c>
      <c r="BI4" s="92"/>
      <c r="BJ4" s="92"/>
      <c r="BK4" s="92">
        <v>1188</v>
      </c>
      <c r="BL4" s="92">
        <v>1116</v>
      </c>
      <c r="BM4" s="92">
        <v>72</v>
      </c>
      <c r="BN4" s="92"/>
      <c r="BO4" s="92"/>
      <c r="BP4" s="92">
        <v>379</v>
      </c>
      <c r="BQ4" s="92">
        <v>350</v>
      </c>
      <c r="BR4" s="92">
        <v>29</v>
      </c>
      <c r="BS4" s="92"/>
      <c r="BT4" s="92"/>
      <c r="BU4" s="92">
        <v>119</v>
      </c>
      <c r="BV4" s="276">
        <f t="shared" ref="BV4:BY6" si="21">ROUND($BP4/4,0)</f>
        <v>95</v>
      </c>
      <c r="BW4" s="276">
        <f t="shared" si="21"/>
        <v>95</v>
      </c>
      <c r="BX4" s="276">
        <f t="shared" si="21"/>
        <v>95</v>
      </c>
      <c r="BY4" s="276">
        <f t="shared" si="21"/>
        <v>95</v>
      </c>
      <c r="BZ4" s="276">
        <v>135</v>
      </c>
      <c r="CA4" s="276">
        <f t="shared" ref="CA4:CD6" si="22">ROUND($BU4/4,0)</f>
        <v>30</v>
      </c>
      <c r="CB4" s="276">
        <f t="shared" si="22"/>
        <v>30</v>
      </c>
      <c r="CC4" s="276">
        <f t="shared" si="22"/>
        <v>30</v>
      </c>
      <c r="CD4" s="276">
        <f t="shared" si="22"/>
        <v>30</v>
      </c>
      <c r="CE4" s="276">
        <v>61</v>
      </c>
      <c r="CF4" s="92">
        <v>58</v>
      </c>
      <c r="CG4" s="92">
        <v>3</v>
      </c>
      <c r="CH4" s="92"/>
      <c r="CI4" s="92"/>
      <c r="CJ4" s="92">
        <v>606</v>
      </c>
      <c r="CK4" s="92">
        <v>352</v>
      </c>
      <c r="CL4" s="92">
        <v>254</v>
      </c>
      <c r="CM4" s="92"/>
      <c r="CN4" s="92"/>
      <c r="CO4" s="276">
        <f t="shared" ref="CO4:CO6" si="23">+SUM(CP4:CS4)</f>
        <v>491</v>
      </c>
      <c r="CP4" s="92">
        <v>309</v>
      </c>
      <c r="CQ4" s="92">
        <v>182</v>
      </c>
      <c r="CR4" s="92"/>
      <c r="CS4" s="276"/>
      <c r="CT4" s="276">
        <v>87</v>
      </c>
      <c r="CU4" s="276">
        <f t="shared" ref="CU4:CU6" si="24">ROUND(+$CT4/4,0)</f>
        <v>22</v>
      </c>
      <c r="CV4" s="276">
        <f t="shared" ref="CV4:CX6" si="25">ROUND(+$CT4/4,0)</f>
        <v>22</v>
      </c>
      <c r="CW4" s="276">
        <f t="shared" si="25"/>
        <v>22</v>
      </c>
      <c r="CX4" s="276">
        <f t="shared" si="25"/>
        <v>22</v>
      </c>
      <c r="CY4" s="276">
        <f t="shared" ref="CY4:CY6" si="26">+SUM(CZ4:DC4)</f>
        <v>1794</v>
      </c>
      <c r="CZ4" s="92">
        <v>897</v>
      </c>
      <c r="DA4" s="92">
        <v>897</v>
      </c>
      <c r="DB4" s="92"/>
      <c r="DC4" s="92"/>
      <c r="DD4" s="276">
        <f t="shared" ref="DD4:DD6" si="27">+SUM(DE4:DH4)</f>
        <v>132</v>
      </c>
      <c r="DE4" s="92">
        <v>100</v>
      </c>
      <c r="DF4" s="92">
        <v>32</v>
      </c>
      <c r="DG4" s="92"/>
      <c r="DH4" s="92"/>
      <c r="DI4" s="276">
        <f t="shared" ref="DI4:DI6" si="28">+SUM(DJ4:DM4)</f>
        <v>32</v>
      </c>
      <c r="DJ4" s="92">
        <v>8</v>
      </c>
      <c r="DK4" s="92">
        <v>8</v>
      </c>
      <c r="DL4" s="92">
        <v>8</v>
      </c>
      <c r="DM4" s="92">
        <v>8</v>
      </c>
      <c r="DN4" s="276">
        <f t="shared" ref="DN4:DN6" si="29">+SUM(DO4:DR4)</f>
        <v>17</v>
      </c>
      <c r="DO4" s="92">
        <v>15</v>
      </c>
      <c r="DP4" s="92">
        <v>2</v>
      </c>
      <c r="DQ4" s="92"/>
      <c r="DR4" s="92"/>
      <c r="DS4" s="276">
        <v>10059</v>
      </c>
      <c r="DT4" s="276">
        <f t="shared" ref="DT4:DW6" si="30">ROUND(+$DS4/4,0)</f>
        <v>2515</v>
      </c>
      <c r="DU4" s="276">
        <f t="shared" si="30"/>
        <v>2515</v>
      </c>
      <c r="DV4" s="276">
        <f t="shared" si="30"/>
        <v>2515</v>
      </c>
      <c r="DW4" s="276">
        <f t="shared" si="30"/>
        <v>2515</v>
      </c>
      <c r="DX4" s="276">
        <f t="shared" ref="DX4:DX6" si="31">+SUM(DY4:EB4)</f>
        <v>18259</v>
      </c>
      <c r="DY4" s="92">
        <v>9481</v>
      </c>
      <c r="DZ4" s="92">
        <v>8778</v>
      </c>
      <c r="EA4" s="92"/>
      <c r="EB4" s="92"/>
    </row>
    <row r="5" spans="1:132" ht="15">
      <c r="A5" s="275" t="s">
        <v>267</v>
      </c>
      <c r="B5" t="s">
        <v>443</v>
      </c>
      <c r="C5" s="580">
        <v>99</v>
      </c>
      <c r="D5" s="276">
        <f t="shared" si="3"/>
        <v>25</v>
      </c>
      <c r="E5" s="276">
        <f t="shared" si="4"/>
        <v>25</v>
      </c>
      <c r="F5" s="276">
        <f t="shared" si="4"/>
        <v>25</v>
      </c>
      <c r="G5" s="276">
        <f t="shared" si="4"/>
        <v>25</v>
      </c>
      <c r="H5" s="580">
        <v>96</v>
      </c>
      <c r="I5" s="276">
        <f t="shared" si="5"/>
        <v>24</v>
      </c>
      <c r="J5" s="276">
        <f t="shared" si="6"/>
        <v>24</v>
      </c>
      <c r="K5" s="276">
        <f t="shared" si="6"/>
        <v>24</v>
      </c>
      <c r="L5" s="276">
        <f t="shared" si="6"/>
        <v>24</v>
      </c>
      <c r="M5" s="581"/>
      <c r="N5" s="276">
        <f t="shared" si="7"/>
        <v>0</v>
      </c>
      <c r="O5" s="276">
        <f t="shared" si="8"/>
        <v>0</v>
      </c>
      <c r="P5" s="276">
        <f t="shared" si="8"/>
        <v>0</v>
      </c>
      <c r="Q5" s="276">
        <f t="shared" si="8"/>
        <v>0</v>
      </c>
      <c r="R5" s="581"/>
      <c r="S5" s="276">
        <f t="shared" si="9"/>
        <v>0</v>
      </c>
      <c r="T5" s="276">
        <f t="shared" si="10"/>
        <v>0</v>
      </c>
      <c r="U5" s="276">
        <f t="shared" si="10"/>
        <v>0</v>
      </c>
      <c r="V5" s="276">
        <f t="shared" si="10"/>
        <v>0</v>
      </c>
      <c r="W5" s="580"/>
      <c r="X5" s="276">
        <f t="shared" si="11"/>
        <v>0</v>
      </c>
      <c r="Y5" s="276">
        <f t="shared" si="12"/>
        <v>0</v>
      </c>
      <c r="Z5" s="276">
        <f t="shared" si="12"/>
        <v>0</v>
      </c>
      <c r="AA5" s="276">
        <f t="shared" si="12"/>
        <v>0</v>
      </c>
      <c r="AB5" s="580"/>
      <c r="AC5" s="276">
        <f t="shared" si="13"/>
        <v>0</v>
      </c>
      <c r="AD5" s="276">
        <f t="shared" si="14"/>
        <v>0</v>
      </c>
      <c r="AE5" s="276">
        <f t="shared" si="14"/>
        <v>0</v>
      </c>
      <c r="AF5" s="276">
        <f t="shared" si="14"/>
        <v>0</v>
      </c>
      <c r="AG5" s="580"/>
      <c r="AH5" s="276">
        <f t="shared" si="15"/>
        <v>0</v>
      </c>
      <c r="AI5" s="276">
        <f t="shared" si="16"/>
        <v>0</v>
      </c>
      <c r="AJ5" s="276">
        <f t="shared" si="16"/>
        <v>0</v>
      </c>
      <c r="AK5" s="276">
        <f t="shared" si="16"/>
        <v>0</v>
      </c>
      <c r="AL5" s="580">
        <f t="shared" si="17"/>
        <v>0</v>
      </c>
      <c r="AM5" s="276"/>
      <c r="AN5" s="276"/>
      <c r="AO5" s="92"/>
      <c r="AP5" s="92"/>
      <c r="AQ5" s="580">
        <f t="shared" si="18"/>
        <v>0</v>
      </c>
      <c r="AR5" s="276"/>
      <c r="AS5" s="276"/>
      <c r="AT5" s="276"/>
      <c r="AU5" s="276"/>
      <c r="AV5" s="580">
        <f t="shared" si="19"/>
        <v>33</v>
      </c>
      <c r="AW5" s="276">
        <v>16</v>
      </c>
      <c r="AX5" s="276">
        <v>17</v>
      </c>
      <c r="AY5" s="276"/>
      <c r="AZ5" s="276"/>
      <c r="BA5" s="580">
        <f t="shared" si="20"/>
        <v>15</v>
      </c>
      <c r="BB5" s="92">
        <v>13</v>
      </c>
      <c r="BC5" s="92">
        <v>2</v>
      </c>
      <c r="BD5" s="92"/>
      <c r="BE5" s="92"/>
      <c r="BF5" s="92">
        <v>1034</v>
      </c>
      <c r="BG5" s="92">
        <v>576</v>
      </c>
      <c r="BH5" s="92">
        <v>458</v>
      </c>
      <c r="BI5" s="92"/>
      <c r="BJ5" s="92"/>
      <c r="BK5" s="92">
        <v>1672</v>
      </c>
      <c r="BL5" s="92">
        <v>1296</v>
      </c>
      <c r="BM5" s="92">
        <v>376</v>
      </c>
      <c r="BN5" s="92"/>
      <c r="BO5" s="92"/>
      <c r="BP5" s="92">
        <v>619</v>
      </c>
      <c r="BQ5" s="92">
        <v>499</v>
      </c>
      <c r="BR5" s="92">
        <v>120</v>
      </c>
      <c r="BS5" s="92"/>
      <c r="BT5" s="92"/>
      <c r="BU5" s="92">
        <v>241</v>
      </c>
      <c r="BV5" s="276">
        <f t="shared" si="21"/>
        <v>155</v>
      </c>
      <c r="BW5" s="276">
        <f t="shared" si="21"/>
        <v>155</v>
      </c>
      <c r="BX5" s="276">
        <f t="shared" si="21"/>
        <v>155</v>
      </c>
      <c r="BY5" s="276">
        <f t="shared" si="21"/>
        <v>155</v>
      </c>
      <c r="BZ5" s="276">
        <v>242</v>
      </c>
      <c r="CA5" s="276">
        <f t="shared" si="22"/>
        <v>60</v>
      </c>
      <c r="CB5" s="276">
        <f t="shared" si="22"/>
        <v>60</v>
      </c>
      <c r="CC5" s="276">
        <f t="shared" si="22"/>
        <v>60</v>
      </c>
      <c r="CD5" s="276">
        <f t="shared" si="22"/>
        <v>60</v>
      </c>
      <c r="CE5" s="276">
        <v>824</v>
      </c>
      <c r="CF5" s="92">
        <v>44</v>
      </c>
      <c r="CG5" s="92">
        <v>780</v>
      </c>
      <c r="CH5" s="92"/>
      <c r="CI5" s="92"/>
      <c r="CJ5" s="92">
        <v>1637</v>
      </c>
      <c r="CK5" s="92">
        <v>781</v>
      </c>
      <c r="CL5" s="92">
        <v>856</v>
      </c>
      <c r="CM5" s="92"/>
      <c r="CN5" s="92"/>
      <c r="CO5" s="276">
        <f t="shared" si="23"/>
        <v>1223</v>
      </c>
      <c r="CP5" s="92">
        <v>562</v>
      </c>
      <c r="CQ5" s="92">
        <v>661</v>
      </c>
      <c r="CR5" s="92"/>
      <c r="CS5" s="276"/>
      <c r="CT5" s="276">
        <v>157</v>
      </c>
      <c r="CU5" s="276">
        <f t="shared" si="24"/>
        <v>39</v>
      </c>
      <c r="CV5" s="276">
        <f t="shared" si="25"/>
        <v>39</v>
      </c>
      <c r="CW5" s="276">
        <f t="shared" si="25"/>
        <v>39</v>
      </c>
      <c r="CX5" s="276">
        <f t="shared" si="25"/>
        <v>39</v>
      </c>
      <c r="CY5" s="276">
        <f t="shared" si="26"/>
        <v>6888</v>
      </c>
      <c r="CZ5" s="92">
        <v>3444</v>
      </c>
      <c r="DA5" s="92">
        <v>3444</v>
      </c>
      <c r="DB5" s="92"/>
      <c r="DC5" s="92"/>
      <c r="DD5" s="276">
        <f t="shared" si="27"/>
        <v>124</v>
      </c>
      <c r="DE5" s="92">
        <v>97</v>
      </c>
      <c r="DF5" s="92">
        <v>27</v>
      </c>
      <c r="DG5" s="92"/>
      <c r="DH5" s="92"/>
      <c r="DI5" s="276">
        <f t="shared" si="28"/>
        <v>24</v>
      </c>
      <c r="DJ5" s="92">
        <v>6</v>
      </c>
      <c r="DK5" s="92">
        <v>6</v>
      </c>
      <c r="DL5" s="92">
        <v>6</v>
      </c>
      <c r="DM5" s="92">
        <v>6</v>
      </c>
      <c r="DN5" s="276">
        <f t="shared" si="29"/>
        <v>193</v>
      </c>
      <c r="DO5" s="92">
        <v>85</v>
      </c>
      <c r="DP5" s="92">
        <v>108</v>
      </c>
      <c r="DQ5" s="92"/>
      <c r="DR5" s="92"/>
      <c r="DS5" s="276">
        <v>18770</v>
      </c>
      <c r="DT5" s="276">
        <f t="shared" si="30"/>
        <v>4693</v>
      </c>
      <c r="DU5" s="276">
        <f t="shared" si="30"/>
        <v>4693</v>
      </c>
      <c r="DV5" s="276">
        <f t="shared" si="30"/>
        <v>4693</v>
      </c>
      <c r="DW5" s="276">
        <f t="shared" si="30"/>
        <v>4693</v>
      </c>
      <c r="DX5" s="276">
        <f t="shared" si="31"/>
        <v>42570</v>
      </c>
      <c r="DY5" s="92">
        <v>18969</v>
      </c>
      <c r="DZ5" s="92">
        <v>23601</v>
      </c>
      <c r="EA5" s="92"/>
      <c r="EB5" s="92"/>
    </row>
    <row r="6" spans="1:132" ht="15">
      <c r="A6" s="275" t="s">
        <v>267</v>
      </c>
      <c r="B6" s="292" t="s">
        <v>447</v>
      </c>
      <c r="C6" s="580">
        <v>163</v>
      </c>
      <c r="D6" s="276">
        <f t="shared" si="3"/>
        <v>41</v>
      </c>
      <c r="E6" s="276">
        <f t="shared" si="4"/>
        <v>41</v>
      </c>
      <c r="F6" s="276">
        <f t="shared" si="4"/>
        <v>41</v>
      </c>
      <c r="G6" s="276">
        <f t="shared" si="4"/>
        <v>41</v>
      </c>
      <c r="H6" s="580">
        <v>189</v>
      </c>
      <c r="I6" s="276">
        <f t="shared" si="5"/>
        <v>47</v>
      </c>
      <c r="J6" s="276">
        <f t="shared" si="6"/>
        <v>47</v>
      </c>
      <c r="K6" s="276">
        <f t="shared" si="6"/>
        <v>47</v>
      </c>
      <c r="L6" s="276">
        <f t="shared" si="6"/>
        <v>47</v>
      </c>
      <c r="M6" s="581"/>
      <c r="N6" s="276">
        <f t="shared" si="7"/>
        <v>0</v>
      </c>
      <c r="O6" s="276">
        <f t="shared" si="8"/>
        <v>0</v>
      </c>
      <c r="P6" s="276">
        <f t="shared" si="8"/>
        <v>0</v>
      </c>
      <c r="Q6" s="276">
        <f t="shared" si="8"/>
        <v>0</v>
      </c>
      <c r="R6" s="581"/>
      <c r="S6" s="276">
        <f t="shared" si="9"/>
        <v>0</v>
      </c>
      <c r="T6" s="276">
        <f t="shared" si="10"/>
        <v>0</v>
      </c>
      <c r="U6" s="276">
        <f t="shared" si="10"/>
        <v>0</v>
      </c>
      <c r="V6" s="276">
        <f t="shared" si="10"/>
        <v>0</v>
      </c>
      <c r="W6" s="580"/>
      <c r="X6" s="276">
        <f t="shared" si="11"/>
        <v>0</v>
      </c>
      <c r="Y6" s="276">
        <f t="shared" si="12"/>
        <v>0</v>
      </c>
      <c r="Z6" s="276">
        <f t="shared" si="12"/>
        <v>0</v>
      </c>
      <c r="AA6" s="276">
        <f t="shared" si="12"/>
        <v>0</v>
      </c>
      <c r="AB6" s="580"/>
      <c r="AC6" s="276">
        <f t="shared" si="13"/>
        <v>0</v>
      </c>
      <c r="AD6" s="276">
        <f t="shared" si="14"/>
        <v>0</v>
      </c>
      <c r="AE6" s="276">
        <f t="shared" si="14"/>
        <v>0</v>
      </c>
      <c r="AF6" s="276">
        <f t="shared" si="14"/>
        <v>0</v>
      </c>
      <c r="AG6" s="580"/>
      <c r="AH6" s="276">
        <f t="shared" si="15"/>
        <v>0</v>
      </c>
      <c r="AI6" s="276">
        <f t="shared" si="16"/>
        <v>0</v>
      </c>
      <c r="AJ6" s="276">
        <f t="shared" si="16"/>
        <v>0</v>
      </c>
      <c r="AK6" s="276">
        <f t="shared" si="16"/>
        <v>0</v>
      </c>
      <c r="AL6" s="580">
        <f>+SUM(AM6:AP6)</f>
        <v>0</v>
      </c>
      <c r="AM6" s="276"/>
      <c r="AN6" s="276"/>
      <c r="AO6" s="92"/>
      <c r="AP6" s="92"/>
      <c r="AQ6" s="580">
        <f t="shared" si="18"/>
        <v>0</v>
      </c>
      <c r="AR6" s="276"/>
      <c r="AS6" s="276"/>
      <c r="AT6" s="276"/>
      <c r="AU6" s="276"/>
      <c r="AV6" s="580">
        <f t="shared" si="19"/>
        <v>41</v>
      </c>
      <c r="AW6" s="276">
        <v>25</v>
      </c>
      <c r="AX6" s="276">
        <v>16</v>
      </c>
      <c r="AY6" s="276"/>
      <c r="AZ6" s="276"/>
      <c r="BA6" s="580">
        <f>+SUM(BB6:BE6)</f>
        <v>26</v>
      </c>
      <c r="BB6" s="92">
        <v>15</v>
      </c>
      <c r="BC6" s="92">
        <v>11</v>
      </c>
      <c r="BD6" s="92"/>
      <c r="BE6" s="92"/>
      <c r="BF6" s="92">
        <v>497</v>
      </c>
      <c r="BG6" s="92">
        <v>186</v>
      </c>
      <c r="BH6" s="92">
        <v>311</v>
      </c>
      <c r="BI6" s="92"/>
      <c r="BJ6" s="92"/>
      <c r="BK6" s="92">
        <v>959</v>
      </c>
      <c r="BL6" s="92">
        <v>720</v>
      </c>
      <c r="BM6" s="92">
        <v>239</v>
      </c>
      <c r="BN6" s="92"/>
      <c r="BO6" s="92"/>
      <c r="BP6" s="92">
        <v>284</v>
      </c>
      <c r="BQ6" s="92">
        <v>253</v>
      </c>
      <c r="BR6" s="92">
        <v>31</v>
      </c>
      <c r="BS6" s="92"/>
      <c r="BT6" s="92"/>
      <c r="BU6" s="92">
        <v>104</v>
      </c>
      <c r="BV6" s="276">
        <f t="shared" si="21"/>
        <v>71</v>
      </c>
      <c r="BW6" s="276">
        <f t="shared" si="21"/>
        <v>71</v>
      </c>
      <c r="BX6" s="276">
        <f t="shared" si="21"/>
        <v>71</v>
      </c>
      <c r="BY6" s="276">
        <f t="shared" si="21"/>
        <v>71</v>
      </c>
      <c r="BZ6" s="276">
        <v>157</v>
      </c>
      <c r="CA6" s="276">
        <f t="shared" si="22"/>
        <v>26</v>
      </c>
      <c r="CB6" s="276">
        <f t="shared" si="22"/>
        <v>26</v>
      </c>
      <c r="CC6" s="276">
        <f t="shared" si="22"/>
        <v>26</v>
      </c>
      <c r="CD6" s="276">
        <f t="shared" si="22"/>
        <v>26</v>
      </c>
      <c r="CE6" s="276">
        <v>273</v>
      </c>
      <c r="CF6" s="92">
        <v>27</v>
      </c>
      <c r="CG6" s="92">
        <v>246</v>
      </c>
      <c r="CH6" s="92"/>
      <c r="CI6" s="92"/>
      <c r="CJ6" s="92">
        <v>809</v>
      </c>
      <c r="CK6" s="92">
        <v>301</v>
      </c>
      <c r="CL6" s="92">
        <v>508</v>
      </c>
      <c r="CM6" s="92"/>
      <c r="CN6" s="92"/>
      <c r="CO6" s="276">
        <f t="shared" si="23"/>
        <v>625</v>
      </c>
      <c r="CP6" s="92">
        <v>354</v>
      </c>
      <c r="CQ6" s="92">
        <v>271</v>
      </c>
      <c r="CR6" s="92"/>
      <c r="CS6" s="276"/>
      <c r="CT6" s="276">
        <v>136</v>
      </c>
      <c r="CU6" s="276">
        <f t="shared" si="24"/>
        <v>34</v>
      </c>
      <c r="CV6" s="276">
        <f t="shared" si="25"/>
        <v>34</v>
      </c>
      <c r="CW6" s="276">
        <f t="shared" si="25"/>
        <v>34</v>
      </c>
      <c r="CX6" s="276">
        <f t="shared" si="25"/>
        <v>34</v>
      </c>
      <c r="CY6" s="276">
        <f t="shared" si="26"/>
        <v>2122</v>
      </c>
      <c r="CZ6" s="92">
        <v>1061</v>
      </c>
      <c r="DA6" s="92">
        <v>1061</v>
      </c>
      <c r="DB6" s="92"/>
      <c r="DC6" s="92"/>
      <c r="DD6" s="276">
        <f t="shared" si="27"/>
        <v>107</v>
      </c>
      <c r="DE6" s="92">
        <v>68</v>
      </c>
      <c r="DF6" s="92">
        <v>39</v>
      </c>
      <c r="DG6" s="92"/>
      <c r="DH6" s="92"/>
      <c r="DI6" s="276">
        <f t="shared" si="28"/>
        <v>24</v>
      </c>
      <c r="DJ6" s="92">
        <v>6</v>
      </c>
      <c r="DK6" s="92">
        <v>6</v>
      </c>
      <c r="DL6" s="92">
        <v>6</v>
      </c>
      <c r="DM6" s="92">
        <v>6</v>
      </c>
      <c r="DN6" s="276">
        <f t="shared" si="29"/>
        <v>0</v>
      </c>
      <c r="DO6" s="92">
        <v>0</v>
      </c>
      <c r="DP6" s="92">
        <v>0</v>
      </c>
      <c r="DQ6" s="92"/>
      <c r="DR6" s="92"/>
      <c r="DS6" s="276">
        <v>16393</v>
      </c>
      <c r="DT6" s="276">
        <f t="shared" si="30"/>
        <v>4098</v>
      </c>
      <c r="DU6" s="276">
        <f t="shared" si="30"/>
        <v>4098</v>
      </c>
      <c r="DV6" s="276">
        <f t="shared" si="30"/>
        <v>4098</v>
      </c>
      <c r="DW6" s="276">
        <f t="shared" si="30"/>
        <v>4098</v>
      </c>
      <c r="DX6" s="276">
        <f t="shared" si="31"/>
        <v>23541</v>
      </c>
      <c r="DY6" s="92">
        <v>11291</v>
      </c>
      <c r="DZ6" s="92">
        <v>12250</v>
      </c>
      <c r="EA6" s="92"/>
      <c r="EB6" s="92"/>
    </row>
    <row r="7" spans="1:132" ht="15">
      <c r="A7" s="275" t="s">
        <v>267</v>
      </c>
      <c r="B7" s="292" t="s">
        <v>446</v>
      </c>
      <c r="C7" s="580">
        <v>475</v>
      </c>
      <c r="D7" s="276">
        <f t="shared" si="3"/>
        <v>119</v>
      </c>
      <c r="E7" s="276">
        <f t="shared" si="4"/>
        <v>119</v>
      </c>
      <c r="F7" s="276">
        <f t="shared" si="4"/>
        <v>119</v>
      </c>
      <c r="G7" s="276">
        <f t="shared" si="4"/>
        <v>119</v>
      </c>
      <c r="H7" s="579">
        <v>484</v>
      </c>
      <c r="I7" s="276">
        <f t="shared" si="5"/>
        <v>121</v>
      </c>
      <c r="J7" s="276">
        <f t="shared" si="6"/>
        <v>121</v>
      </c>
      <c r="K7" s="276">
        <f t="shared" si="6"/>
        <v>121</v>
      </c>
      <c r="L7" s="276">
        <f t="shared" si="6"/>
        <v>121</v>
      </c>
      <c r="M7" s="584"/>
      <c r="N7" s="276">
        <f t="shared" si="7"/>
        <v>0</v>
      </c>
      <c r="O7" s="276">
        <f t="shared" si="8"/>
        <v>0</v>
      </c>
      <c r="P7" s="276">
        <f t="shared" si="8"/>
        <v>0</v>
      </c>
      <c r="Q7" s="276">
        <f t="shared" si="8"/>
        <v>0</v>
      </c>
      <c r="R7" s="584"/>
      <c r="S7" s="276">
        <f t="shared" si="9"/>
        <v>0</v>
      </c>
      <c r="T7" s="276">
        <f t="shared" si="10"/>
        <v>0</v>
      </c>
      <c r="U7" s="276">
        <f t="shared" si="10"/>
        <v>0</v>
      </c>
      <c r="V7" s="276">
        <f t="shared" si="10"/>
        <v>0</v>
      </c>
      <c r="W7" s="579"/>
      <c r="X7" s="276">
        <f t="shared" si="11"/>
        <v>0</v>
      </c>
      <c r="Y7" s="276">
        <f t="shared" si="12"/>
        <v>0</v>
      </c>
      <c r="Z7" s="276">
        <f t="shared" si="12"/>
        <v>0</v>
      </c>
      <c r="AA7" s="276">
        <f t="shared" si="12"/>
        <v>0</v>
      </c>
      <c r="AB7" s="579"/>
      <c r="AC7" s="276">
        <f t="shared" si="13"/>
        <v>0</v>
      </c>
      <c r="AD7" s="276">
        <f t="shared" si="14"/>
        <v>0</v>
      </c>
      <c r="AE7" s="276">
        <f t="shared" si="14"/>
        <v>0</v>
      </c>
      <c r="AF7" s="276">
        <f t="shared" si="14"/>
        <v>0</v>
      </c>
      <c r="AG7" s="579"/>
      <c r="AH7" s="276">
        <f t="shared" si="15"/>
        <v>0</v>
      </c>
      <c r="AI7" s="276">
        <f t="shared" si="16"/>
        <v>0</v>
      </c>
      <c r="AJ7" s="276">
        <f t="shared" si="16"/>
        <v>0</v>
      </c>
      <c r="AK7" s="276">
        <f t="shared" si="16"/>
        <v>0</v>
      </c>
      <c r="AL7" s="580">
        <f t="shared" ref="AL7:AL11" si="32">+SUM(AM7:AP7)</f>
        <v>0</v>
      </c>
      <c r="AM7" s="276"/>
      <c r="AN7" s="276"/>
      <c r="AO7" s="92"/>
      <c r="AP7" s="92"/>
      <c r="AQ7" s="580">
        <f t="shared" si="18"/>
        <v>0</v>
      </c>
      <c r="AR7" s="276"/>
      <c r="AS7" s="276"/>
      <c r="AT7" s="276"/>
      <c r="AU7" s="276"/>
      <c r="AV7" s="580">
        <f t="shared" si="19"/>
        <v>191</v>
      </c>
      <c r="AW7" s="276">
        <v>88</v>
      </c>
      <c r="AX7" s="276">
        <v>103</v>
      </c>
      <c r="AY7" s="276"/>
      <c r="AZ7" s="276"/>
      <c r="BA7" s="580">
        <f t="shared" ref="BA7:BA11" si="33">+SUM(BB7:BE7)</f>
        <v>4</v>
      </c>
      <c r="BB7" s="92">
        <v>2</v>
      </c>
      <c r="BC7" s="92">
        <v>2</v>
      </c>
      <c r="BD7" s="92"/>
      <c r="BE7" s="92"/>
      <c r="BF7" s="92"/>
      <c r="BG7" s="92"/>
      <c r="BH7" s="92"/>
      <c r="BI7" s="92"/>
      <c r="BJ7" s="92"/>
      <c r="BK7" s="92"/>
      <c r="BL7" s="92"/>
      <c r="BM7" s="92"/>
      <c r="BN7" s="92"/>
      <c r="BO7" s="92"/>
      <c r="BP7" s="92"/>
      <c r="BQ7" s="92"/>
      <c r="BR7" s="92"/>
      <c r="BS7" s="92"/>
      <c r="BT7" s="92"/>
      <c r="BU7" s="92"/>
      <c r="BV7" s="92"/>
      <c r="BW7" s="92"/>
      <c r="BX7" s="92"/>
      <c r="BY7" s="92"/>
      <c r="BZ7" s="92"/>
      <c r="CA7" s="92"/>
      <c r="CB7" s="92"/>
      <c r="CC7" s="92"/>
      <c r="CD7" s="92"/>
      <c r="CE7" s="92"/>
      <c r="CF7" s="92"/>
      <c r="CG7" s="92"/>
      <c r="CH7" s="92"/>
      <c r="CI7" s="92"/>
      <c r="CJ7" s="92"/>
      <c r="CK7" s="92"/>
      <c r="CL7" s="92"/>
      <c r="CM7" s="92"/>
      <c r="CN7" s="92"/>
      <c r="CO7" s="92"/>
      <c r="CP7" s="92"/>
      <c r="CQ7" s="92"/>
      <c r="CR7" s="92"/>
      <c r="CS7" s="92"/>
      <c r="CT7" s="92"/>
      <c r="CU7" s="92"/>
      <c r="CV7" s="92"/>
      <c r="CW7" s="92"/>
      <c r="CX7" s="92"/>
      <c r="CY7" s="92"/>
      <c r="CZ7" s="92"/>
      <c r="DA7" s="92"/>
      <c r="DB7" s="92"/>
      <c r="DC7" s="92"/>
      <c r="DD7" s="92"/>
      <c r="DE7" s="92"/>
      <c r="DF7" s="92"/>
      <c r="DG7" s="92"/>
      <c r="DH7" s="92"/>
      <c r="DI7" s="92"/>
      <c r="DJ7" s="92"/>
      <c r="DK7" s="92"/>
      <c r="DL7" s="92"/>
      <c r="DM7" s="92"/>
      <c r="DN7" s="92"/>
      <c r="DO7" s="92"/>
      <c r="DP7" s="92"/>
      <c r="DQ7" s="92"/>
      <c r="DR7" s="92"/>
      <c r="DS7" s="92"/>
      <c r="DT7" s="92"/>
      <c r="DU7" s="92"/>
      <c r="DV7" s="92"/>
      <c r="DW7" s="92"/>
      <c r="DX7" s="92"/>
      <c r="DY7" s="92"/>
      <c r="DZ7" s="92"/>
      <c r="EA7" s="92"/>
      <c r="EB7" s="92"/>
    </row>
    <row r="8" spans="1:132" ht="15">
      <c r="A8" s="275" t="s">
        <v>267</v>
      </c>
      <c r="B8" t="s">
        <v>501</v>
      </c>
      <c r="C8" s="580">
        <v>193</v>
      </c>
      <c r="D8" s="276">
        <f t="shared" si="3"/>
        <v>48</v>
      </c>
      <c r="E8" s="276">
        <f t="shared" si="4"/>
        <v>48</v>
      </c>
      <c r="F8" s="276">
        <f t="shared" si="4"/>
        <v>48</v>
      </c>
      <c r="G8" s="276">
        <f t="shared" si="4"/>
        <v>48</v>
      </c>
      <c r="H8" s="579">
        <v>187</v>
      </c>
      <c r="I8" s="276">
        <f t="shared" si="5"/>
        <v>47</v>
      </c>
      <c r="J8" s="276">
        <f t="shared" si="6"/>
        <v>47</v>
      </c>
      <c r="K8" s="276">
        <f t="shared" si="6"/>
        <v>47</v>
      </c>
      <c r="L8" s="276">
        <f t="shared" si="6"/>
        <v>47</v>
      </c>
      <c r="M8" s="584"/>
      <c r="N8" s="276">
        <f t="shared" si="7"/>
        <v>0</v>
      </c>
      <c r="O8" s="276">
        <f t="shared" si="8"/>
        <v>0</v>
      </c>
      <c r="P8" s="276">
        <f t="shared" si="8"/>
        <v>0</v>
      </c>
      <c r="Q8" s="276">
        <f t="shared" si="8"/>
        <v>0</v>
      </c>
      <c r="R8" s="584"/>
      <c r="S8" s="276">
        <f t="shared" si="9"/>
        <v>0</v>
      </c>
      <c r="T8" s="276">
        <f t="shared" si="10"/>
        <v>0</v>
      </c>
      <c r="U8" s="276">
        <f t="shared" si="10"/>
        <v>0</v>
      </c>
      <c r="V8" s="276">
        <f t="shared" si="10"/>
        <v>0</v>
      </c>
      <c r="W8" s="579"/>
      <c r="X8" s="276">
        <f t="shared" si="11"/>
        <v>0</v>
      </c>
      <c r="Y8" s="276">
        <f t="shared" si="12"/>
        <v>0</v>
      </c>
      <c r="Z8" s="276">
        <f t="shared" si="12"/>
        <v>0</v>
      </c>
      <c r="AA8" s="276">
        <f t="shared" si="12"/>
        <v>0</v>
      </c>
      <c r="AB8" s="579"/>
      <c r="AC8" s="276">
        <f t="shared" si="13"/>
        <v>0</v>
      </c>
      <c r="AD8" s="276">
        <f t="shared" si="14"/>
        <v>0</v>
      </c>
      <c r="AE8" s="276">
        <f t="shared" si="14"/>
        <v>0</v>
      </c>
      <c r="AF8" s="276">
        <f t="shared" si="14"/>
        <v>0</v>
      </c>
      <c r="AG8" s="579"/>
      <c r="AH8" s="276">
        <f t="shared" si="15"/>
        <v>0</v>
      </c>
      <c r="AI8" s="276">
        <f t="shared" si="16"/>
        <v>0</v>
      </c>
      <c r="AJ8" s="276">
        <f t="shared" si="16"/>
        <v>0</v>
      </c>
      <c r="AK8" s="276">
        <f t="shared" si="16"/>
        <v>0</v>
      </c>
      <c r="AL8" s="580">
        <f t="shared" si="32"/>
        <v>0</v>
      </c>
      <c r="AM8" s="276"/>
      <c r="AN8" s="276"/>
      <c r="AO8" s="92"/>
      <c r="AP8" s="92"/>
      <c r="AQ8" s="580">
        <f t="shared" si="18"/>
        <v>0</v>
      </c>
      <c r="AR8" s="276"/>
      <c r="AS8" s="276"/>
      <c r="AT8" s="276"/>
      <c r="AU8" s="276"/>
      <c r="AV8" s="580">
        <f t="shared" si="19"/>
        <v>58</v>
      </c>
      <c r="AW8" s="276">
        <v>26</v>
      </c>
      <c r="AX8" s="276">
        <v>32</v>
      </c>
      <c r="AY8" s="276"/>
      <c r="AZ8" s="276"/>
      <c r="BA8" s="580">
        <f t="shared" si="33"/>
        <v>16</v>
      </c>
      <c r="BB8" s="92">
        <v>9</v>
      </c>
      <c r="BC8" s="92">
        <v>7</v>
      </c>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row>
    <row r="9" spans="1:132" ht="15">
      <c r="A9" s="275" t="s">
        <v>267</v>
      </c>
      <c r="B9" s="292" t="s">
        <v>441</v>
      </c>
      <c r="C9" s="580">
        <v>149</v>
      </c>
      <c r="D9" s="276">
        <f t="shared" si="3"/>
        <v>37</v>
      </c>
      <c r="E9" s="276">
        <f t="shared" si="4"/>
        <v>37</v>
      </c>
      <c r="F9" s="276">
        <f t="shared" si="4"/>
        <v>37</v>
      </c>
      <c r="G9" s="276">
        <f t="shared" si="4"/>
        <v>37</v>
      </c>
      <c r="H9" s="579">
        <v>159</v>
      </c>
      <c r="I9" s="276">
        <f t="shared" si="5"/>
        <v>40</v>
      </c>
      <c r="J9" s="276">
        <f t="shared" si="6"/>
        <v>40</v>
      </c>
      <c r="K9" s="276">
        <f t="shared" si="6"/>
        <v>40</v>
      </c>
      <c r="L9" s="276">
        <f t="shared" si="6"/>
        <v>40</v>
      </c>
      <c r="M9" s="584"/>
      <c r="N9" s="276">
        <f t="shared" si="7"/>
        <v>0</v>
      </c>
      <c r="O9" s="276">
        <f t="shared" si="8"/>
        <v>0</v>
      </c>
      <c r="P9" s="276">
        <f t="shared" si="8"/>
        <v>0</v>
      </c>
      <c r="Q9" s="276">
        <f t="shared" si="8"/>
        <v>0</v>
      </c>
      <c r="R9" s="584"/>
      <c r="S9" s="276">
        <f t="shared" si="9"/>
        <v>0</v>
      </c>
      <c r="T9" s="276">
        <f t="shared" si="10"/>
        <v>0</v>
      </c>
      <c r="U9" s="276">
        <f t="shared" si="10"/>
        <v>0</v>
      </c>
      <c r="V9" s="276">
        <f t="shared" si="10"/>
        <v>0</v>
      </c>
      <c r="W9" s="579"/>
      <c r="X9" s="276">
        <f t="shared" si="11"/>
        <v>0</v>
      </c>
      <c r="Y9" s="276">
        <f t="shared" si="12"/>
        <v>0</v>
      </c>
      <c r="Z9" s="276">
        <f t="shared" si="12"/>
        <v>0</v>
      </c>
      <c r="AA9" s="276">
        <f t="shared" si="12"/>
        <v>0</v>
      </c>
      <c r="AB9" s="579"/>
      <c r="AC9" s="276">
        <f t="shared" si="13"/>
        <v>0</v>
      </c>
      <c r="AD9" s="276">
        <f t="shared" si="14"/>
        <v>0</v>
      </c>
      <c r="AE9" s="276">
        <f t="shared" si="14"/>
        <v>0</v>
      </c>
      <c r="AF9" s="276">
        <f t="shared" si="14"/>
        <v>0</v>
      </c>
      <c r="AG9" s="579"/>
      <c r="AH9" s="276">
        <f t="shared" si="15"/>
        <v>0</v>
      </c>
      <c r="AI9" s="276">
        <f t="shared" si="16"/>
        <v>0</v>
      </c>
      <c r="AJ9" s="276">
        <f t="shared" si="16"/>
        <v>0</v>
      </c>
      <c r="AK9" s="276">
        <f t="shared" si="16"/>
        <v>0</v>
      </c>
      <c r="AL9" s="580">
        <f t="shared" si="32"/>
        <v>0</v>
      </c>
      <c r="AM9" s="276"/>
      <c r="AN9" s="276"/>
      <c r="AO9" s="92"/>
      <c r="AP9" s="92"/>
      <c r="AQ9" s="580">
        <f t="shared" si="18"/>
        <v>0</v>
      </c>
      <c r="AR9" s="276"/>
      <c r="AS9" s="276"/>
      <c r="AT9" s="276"/>
      <c r="AU9" s="276"/>
      <c r="AV9" s="580">
        <f t="shared" si="19"/>
        <v>50</v>
      </c>
      <c r="AW9" s="276">
        <v>26</v>
      </c>
      <c r="AX9" s="276">
        <v>24</v>
      </c>
      <c r="AY9" s="276"/>
      <c r="AZ9" s="276"/>
      <c r="BA9" s="580">
        <f t="shared" si="33"/>
        <v>5</v>
      </c>
      <c r="BB9" s="92">
        <v>2</v>
      </c>
      <c r="BC9" s="92">
        <v>3</v>
      </c>
      <c r="BD9" s="92"/>
      <c r="BE9" s="92"/>
      <c r="BF9" s="92"/>
      <c r="BG9" s="92"/>
      <c r="BH9" s="92"/>
      <c r="BI9" s="92"/>
      <c r="BJ9" s="92"/>
      <c r="BK9" s="92"/>
      <c r="BL9" s="92"/>
      <c r="BM9" s="92"/>
      <c r="BN9" s="92"/>
      <c r="BO9" s="92"/>
      <c r="BP9" s="92"/>
      <c r="BQ9" s="92"/>
      <c r="BR9" s="92"/>
      <c r="BS9" s="92"/>
      <c r="BT9" s="92"/>
      <c r="BU9" s="92"/>
      <c r="BV9" s="92"/>
      <c r="BW9" s="92"/>
      <c r="BX9" s="92"/>
      <c r="BY9" s="92"/>
      <c r="BZ9" s="92"/>
      <c r="CA9" s="92"/>
      <c r="CB9" s="92"/>
      <c r="CC9" s="92"/>
      <c r="CD9" s="92"/>
      <c r="CE9" s="92"/>
      <c r="CF9" s="92"/>
      <c r="CG9" s="92"/>
      <c r="CH9" s="92"/>
      <c r="CI9" s="92"/>
      <c r="CJ9" s="92"/>
      <c r="CK9" s="92"/>
      <c r="CL9" s="92"/>
      <c r="CM9" s="92"/>
      <c r="CN9" s="92"/>
      <c r="CO9" s="92"/>
      <c r="CP9" s="92"/>
      <c r="CQ9" s="92"/>
      <c r="CR9" s="92"/>
      <c r="CS9" s="92"/>
      <c r="CT9" s="92"/>
      <c r="CU9" s="92"/>
      <c r="CV9" s="92"/>
      <c r="CW9" s="92"/>
      <c r="CX9" s="92"/>
      <c r="CY9" s="92"/>
      <c r="CZ9" s="92"/>
      <c r="DA9" s="92"/>
      <c r="DB9" s="92"/>
      <c r="DC9" s="92"/>
      <c r="DD9" s="92"/>
      <c r="DE9" s="92"/>
      <c r="DF9" s="92"/>
      <c r="DG9" s="92"/>
      <c r="DH9" s="92"/>
      <c r="DI9" s="92"/>
      <c r="DJ9" s="92"/>
      <c r="DK9" s="92"/>
      <c r="DL9" s="92"/>
      <c r="DM9" s="92"/>
      <c r="DN9" s="92"/>
      <c r="DO9" s="92"/>
      <c r="DP9" s="92"/>
      <c r="DQ9" s="92"/>
      <c r="DR9" s="92"/>
      <c r="DS9" s="92"/>
      <c r="DT9" s="92"/>
      <c r="DU9" s="92"/>
      <c r="DV9" s="92"/>
      <c r="DW9" s="92"/>
      <c r="DX9" s="92"/>
      <c r="DY9" s="92"/>
      <c r="DZ9" s="92"/>
      <c r="EA9" s="92"/>
      <c r="EB9" s="92"/>
    </row>
    <row r="10" spans="1:132" ht="15">
      <c r="A10" s="275" t="s">
        <v>267</v>
      </c>
      <c r="B10" t="s">
        <v>442</v>
      </c>
      <c r="C10" s="580">
        <v>114</v>
      </c>
      <c r="D10" s="276">
        <f t="shared" si="3"/>
        <v>29</v>
      </c>
      <c r="E10" s="276">
        <f t="shared" si="4"/>
        <v>29</v>
      </c>
      <c r="F10" s="276">
        <f t="shared" si="4"/>
        <v>29</v>
      </c>
      <c r="G10" s="276">
        <f t="shared" si="4"/>
        <v>29</v>
      </c>
      <c r="H10" s="579">
        <v>139</v>
      </c>
      <c r="I10" s="276">
        <f t="shared" si="5"/>
        <v>35</v>
      </c>
      <c r="J10" s="276">
        <f t="shared" si="6"/>
        <v>35</v>
      </c>
      <c r="K10" s="276">
        <f t="shared" si="6"/>
        <v>35</v>
      </c>
      <c r="L10" s="276">
        <f t="shared" si="6"/>
        <v>35</v>
      </c>
      <c r="M10" s="584"/>
      <c r="N10" s="276">
        <f t="shared" si="7"/>
        <v>0</v>
      </c>
      <c r="O10" s="276">
        <f t="shared" si="8"/>
        <v>0</v>
      </c>
      <c r="P10" s="276">
        <f t="shared" si="8"/>
        <v>0</v>
      </c>
      <c r="Q10" s="276">
        <f t="shared" si="8"/>
        <v>0</v>
      </c>
      <c r="R10" s="584"/>
      <c r="S10" s="276">
        <f t="shared" si="9"/>
        <v>0</v>
      </c>
      <c r="T10" s="276">
        <f t="shared" si="10"/>
        <v>0</v>
      </c>
      <c r="U10" s="276">
        <f t="shared" si="10"/>
        <v>0</v>
      </c>
      <c r="V10" s="276">
        <f t="shared" si="10"/>
        <v>0</v>
      </c>
      <c r="W10" s="579"/>
      <c r="X10" s="276">
        <f t="shared" si="11"/>
        <v>0</v>
      </c>
      <c r="Y10" s="276">
        <f t="shared" si="12"/>
        <v>0</v>
      </c>
      <c r="Z10" s="276">
        <f t="shared" si="12"/>
        <v>0</v>
      </c>
      <c r="AA10" s="276">
        <f t="shared" si="12"/>
        <v>0</v>
      </c>
      <c r="AB10" s="579"/>
      <c r="AC10" s="276">
        <f t="shared" si="13"/>
        <v>0</v>
      </c>
      <c r="AD10" s="276">
        <f t="shared" si="14"/>
        <v>0</v>
      </c>
      <c r="AE10" s="276">
        <f t="shared" si="14"/>
        <v>0</v>
      </c>
      <c r="AF10" s="276">
        <f t="shared" si="14"/>
        <v>0</v>
      </c>
      <c r="AG10" s="579"/>
      <c r="AH10" s="276">
        <f t="shared" si="15"/>
        <v>0</v>
      </c>
      <c r="AI10" s="276">
        <f t="shared" si="16"/>
        <v>0</v>
      </c>
      <c r="AJ10" s="276">
        <f t="shared" si="16"/>
        <v>0</v>
      </c>
      <c r="AK10" s="276">
        <f t="shared" si="16"/>
        <v>0</v>
      </c>
      <c r="AL10" s="580">
        <f t="shared" si="32"/>
        <v>0</v>
      </c>
      <c r="AM10" s="276"/>
      <c r="AN10" s="276"/>
      <c r="AO10" s="92"/>
      <c r="AP10" s="92"/>
      <c r="AQ10" s="580">
        <f t="shared" si="18"/>
        <v>0</v>
      </c>
      <c r="AR10" s="276"/>
      <c r="AS10" s="276"/>
      <c r="AT10" s="276"/>
      <c r="AU10" s="276"/>
      <c r="AV10" s="580">
        <f t="shared" si="19"/>
        <v>29</v>
      </c>
      <c r="AW10" s="276">
        <v>10</v>
      </c>
      <c r="AX10" s="276">
        <v>19</v>
      </c>
      <c r="AY10" s="276"/>
      <c r="AZ10" s="276"/>
      <c r="BA10" s="580">
        <f t="shared" si="33"/>
        <v>35</v>
      </c>
      <c r="BB10" s="92">
        <v>19</v>
      </c>
      <c r="BC10" s="92">
        <v>16</v>
      </c>
      <c r="BD10" s="92"/>
      <c r="BE10" s="92"/>
      <c r="BF10" s="92"/>
      <c r="BG10" s="92"/>
      <c r="BH10" s="92"/>
      <c r="BI10" s="92"/>
      <c r="BJ10" s="92"/>
      <c r="BK10" s="92"/>
      <c r="BL10" s="92"/>
      <c r="BM10" s="92"/>
      <c r="BN10" s="92"/>
      <c r="BO10" s="92"/>
      <c r="BP10" s="92"/>
      <c r="BQ10" s="92"/>
      <c r="BR10" s="92"/>
      <c r="BS10" s="92"/>
      <c r="BT10" s="92"/>
      <c r="BU10" s="92"/>
      <c r="BV10" s="92"/>
      <c r="BW10" s="92"/>
      <c r="BX10" s="92"/>
      <c r="BY10" s="92"/>
      <c r="BZ10" s="92"/>
      <c r="CA10" s="92"/>
      <c r="CB10" s="92"/>
      <c r="CC10" s="92"/>
      <c r="CD10" s="92"/>
      <c r="CE10" s="92"/>
      <c r="CF10" s="92"/>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row>
    <row r="11" spans="1:132" ht="15">
      <c r="A11" s="275" t="s">
        <v>267</v>
      </c>
      <c r="B11" s="292" t="s">
        <v>445</v>
      </c>
      <c r="C11" s="580">
        <v>138</v>
      </c>
      <c r="D11" s="276">
        <f t="shared" si="3"/>
        <v>35</v>
      </c>
      <c r="E11" s="276">
        <f t="shared" si="4"/>
        <v>35</v>
      </c>
      <c r="F11" s="276">
        <f t="shared" si="4"/>
        <v>35</v>
      </c>
      <c r="G11" s="276">
        <f t="shared" si="4"/>
        <v>35</v>
      </c>
      <c r="H11" s="579">
        <v>162</v>
      </c>
      <c r="I11" s="276">
        <f t="shared" si="5"/>
        <v>41</v>
      </c>
      <c r="J11" s="276">
        <f t="shared" si="6"/>
        <v>41</v>
      </c>
      <c r="K11" s="276">
        <f t="shared" si="6"/>
        <v>41</v>
      </c>
      <c r="L11" s="276">
        <f t="shared" si="6"/>
        <v>41</v>
      </c>
      <c r="M11" s="584"/>
      <c r="N11" s="276">
        <f t="shared" si="7"/>
        <v>0</v>
      </c>
      <c r="O11" s="276">
        <f t="shared" si="8"/>
        <v>0</v>
      </c>
      <c r="P11" s="276">
        <f t="shared" si="8"/>
        <v>0</v>
      </c>
      <c r="Q11" s="276">
        <f t="shared" si="8"/>
        <v>0</v>
      </c>
      <c r="R11" s="584"/>
      <c r="S11" s="276">
        <f t="shared" si="9"/>
        <v>0</v>
      </c>
      <c r="T11" s="276">
        <f t="shared" si="10"/>
        <v>0</v>
      </c>
      <c r="U11" s="276">
        <f t="shared" si="10"/>
        <v>0</v>
      </c>
      <c r="V11" s="276">
        <f t="shared" si="10"/>
        <v>0</v>
      </c>
      <c r="W11" s="579"/>
      <c r="X11" s="276">
        <f t="shared" si="11"/>
        <v>0</v>
      </c>
      <c r="Y11" s="276">
        <f t="shared" si="12"/>
        <v>0</v>
      </c>
      <c r="Z11" s="276">
        <f t="shared" si="12"/>
        <v>0</v>
      </c>
      <c r="AA11" s="276">
        <f t="shared" si="12"/>
        <v>0</v>
      </c>
      <c r="AB11" s="579"/>
      <c r="AC11" s="276">
        <f t="shared" si="13"/>
        <v>0</v>
      </c>
      <c r="AD11" s="276">
        <f t="shared" si="14"/>
        <v>0</v>
      </c>
      <c r="AE11" s="276">
        <f t="shared" si="14"/>
        <v>0</v>
      </c>
      <c r="AF11" s="276">
        <f t="shared" si="14"/>
        <v>0</v>
      </c>
      <c r="AG11" s="579"/>
      <c r="AH11" s="276">
        <f t="shared" si="15"/>
        <v>0</v>
      </c>
      <c r="AI11" s="276">
        <f t="shared" si="16"/>
        <v>0</v>
      </c>
      <c r="AJ11" s="276">
        <f t="shared" si="16"/>
        <v>0</v>
      </c>
      <c r="AK11" s="276">
        <f t="shared" si="16"/>
        <v>0</v>
      </c>
      <c r="AL11" s="580">
        <f t="shared" si="32"/>
        <v>0</v>
      </c>
      <c r="AM11" s="276"/>
      <c r="AN11" s="276"/>
      <c r="AO11" s="92"/>
      <c r="AP11" s="92"/>
      <c r="AQ11" s="580">
        <f t="shared" si="18"/>
        <v>0</v>
      </c>
      <c r="AR11" s="276"/>
      <c r="AS11" s="276"/>
      <c r="AT11" s="276"/>
      <c r="AU11" s="276"/>
      <c r="AV11" s="580">
        <f t="shared" si="19"/>
        <v>60</v>
      </c>
      <c r="AW11" s="276">
        <v>38</v>
      </c>
      <c r="AX11" s="276">
        <v>22</v>
      </c>
      <c r="AY11" s="276"/>
      <c r="AZ11" s="276"/>
      <c r="BA11" s="580">
        <f t="shared" si="33"/>
        <v>33</v>
      </c>
      <c r="BB11" s="92">
        <v>24</v>
      </c>
      <c r="BC11" s="92">
        <v>9</v>
      </c>
      <c r="BD11" s="92"/>
      <c r="BE11" s="92"/>
      <c r="BF11" s="92"/>
      <c r="BG11" s="92"/>
      <c r="BH11" s="92"/>
      <c r="BI11" s="92"/>
      <c r="BJ11" s="92"/>
      <c r="BK11" s="92"/>
      <c r="BL11" s="92"/>
      <c r="BM11" s="92"/>
      <c r="BN11" s="92"/>
      <c r="BO11" s="92"/>
      <c r="BP11" s="92"/>
      <c r="BQ11" s="92"/>
      <c r="BR11" s="92"/>
      <c r="BS11" s="92"/>
      <c r="BT11" s="92"/>
      <c r="BU11" s="92"/>
      <c r="BV11" s="92"/>
      <c r="BW11" s="92"/>
      <c r="BX11" s="92"/>
      <c r="BY11" s="92"/>
      <c r="BZ11" s="92"/>
      <c r="CA11" s="92"/>
      <c r="CB11" s="92"/>
      <c r="CC11" s="92"/>
      <c r="CD11" s="92"/>
      <c r="CE11" s="92"/>
      <c r="CF11" s="92"/>
      <c r="CG11" s="92"/>
      <c r="CH11" s="92"/>
      <c r="CI11" s="92"/>
      <c r="CJ11" s="92"/>
      <c r="CK11" s="92"/>
      <c r="CL11" s="92"/>
      <c r="CM11" s="92"/>
      <c r="CN11" s="92"/>
      <c r="CO11" s="92"/>
      <c r="CP11" s="92"/>
      <c r="CQ11" s="92"/>
      <c r="CR11" s="92"/>
      <c r="CS11" s="92"/>
      <c r="CT11" s="92"/>
      <c r="CU11" s="92"/>
      <c r="CV11" s="92"/>
      <c r="CW11" s="92"/>
      <c r="CX11" s="92"/>
      <c r="CY11" s="92"/>
      <c r="CZ11" s="92"/>
      <c r="DA11" s="92"/>
      <c r="DB11" s="92"/>
      <c r="DC11" s="92"/>
      <c r="DD11" s="92"/>
      <c r="DE11" s="92"/>
      <c r="DF11" s="92"/>
      <c r="DG11" s="92"/>
      <c r="DH11" s="92"/>
      <c r="DI11" s="92"/>
      <c r="DJ11" s="92"/>
      <c r="DK11" s="92"/>
      <c r="DL11" s="92"/>
      <c r="DM11" s="92"/>
      <c r="DN11" s="92"/>
      <c r="DO11" s="92"/>
      <c r="DP11" s="92"/>
      <c r="DQ11" s="92"/>
      <c r="DR11" s="92"/>
      <c r="DS11" s="92"/>
      <c r="DT11" s="92"/>
      <c r="DU11" s="92"/>
      <c r="DV11" s="92"/>
      <c r="DW11" s="92"/>
      <c r="DX11" s="92"/>
      <c r="DY11" s="92"/>
      <c r="DZ11" s="92"/>
      <c r="EA11" s="92"/>
      <c r="EB11" s="92"/>
    </row>
    <row r="15" spans="1:132">
      <c r="C15" s="583"/>
    </row>
    <row r="16" spans="1:132">
      <c r="C16" s="583"/>
    </row>
  </sheetData>
  <mergeCells count="26">
    <mergeCell ref="DX1:EB1"/>
    <mergeCell ref="CY1:DC1"/>
    <mergeCell ref="DD1:DH1"/>
    <mergeCell ref="DI1:DM1"/>
    <mergeCell ref="DN1:DR1"/>
    <mergeCell ref="DS1:DW1"/>
    <mergeCell ref="BZ1:CD1"/>
    <mergeCell ref="CE1:CI1"/>
    <mergeCell ref="CJ1:CN1"/>
    <mergeCell ref="CO1:CS1"/>
    <mergeCell ref="CT1:CX1"/>
    <mergeCell ref="BA1:BE1"/>
    <mergeCell ref="BF1:BJ1"/>
    <mergeCell ref="BK1:BO1"/>
    <mergeCell ref="BP1:BT1"/>
    <mergeCell ref="BU1:BY1"/>
    <mergeCell ref="AQ1:AU1"/>
    <mergeCell ref="AV1:AZ1"/>
    <mergeCell ref="AL1:AP1"/>
    <mergeCell ref="C1:G1"/>
    <mergeCell ref="H1:L1"/>
    <mergeCell ref="R1:V1"/>
    <mergeCell ref="AG1:AK1"/>
    <mergeCell ref="M1:Q1"/>
    <mergeCell ref="AB1:AF1"/>
    <mergeCell ref="W1:AA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12</vt:i4>
      </vt:variant>
    </vt:vector>
  </HeadingPairs>
  <TitlesOfParts>
    <vt:vector size="27" baseType="lpstr">
      <vt:lpstr>Portada</vt:lpstr>
      <vt:lpstr>Glosario</vt:lpstr>
      <vt:lpstr>Ficha</vt:lpstr>
      <vt:lpstr>Indicadores</vt:lpstr>
      <vt:lpstr>F1</vt:lpstr>
      <vt:lpstr>F2</vt:lpstr>
      <vt:lpstr>Hoja1</vt:lpstr>
      <vt:lpstr>Tablero de mando</vt:lpstr>
      <vt:lpstr>Performance</vt:lpstr>
      <vt:lpstr>Graficos</vt:lpstr>
      <vt:lpstr>L&amp;D</vt:lpstr>
      <vt:lpstr>Rk_Dorado</vt:lpstr>
      <vt:lpstr>Data_Numerador</vt:lpstr>
      <vt:lpstr>Atend_Atenc</vt:lpstr>
      <vt:lpstr>Data_Denominador</vt:lpstr>
      <vt:lpstr>'F2'!Área_de_impresión</vt:lpstr>
      <vt:lpstr>Ficha!Área_de_impresión</vt:lpstr>
      <vt:lpstr>Indicadores!Área_de_impresión</vt:lpstr>
      <vt:lpstr>'L&amp;D'!Área_de_impresión</vt:lpstr>
      <vt:lpstr>Performance!Área_de_impresión</vt:lpstr>
      <vt:lpstr>Portada!Área_de_impresión</vt:lpstr>
      <vt:lpstr>BK</vt:lpstr>
      <vt:lpstr>KB</vt:lpstr>
      <vt:lpstr>MICRORED</vt:lpstr>
      <vt:lpstr>REDES</vt:lpstr>
      <vt:lpstr>'F2'!Títulos_a_imprimir</vt:lpstr>
      <vt:lpstr>Indicadores!Títulos_a_imprimir</vt:lpstr>
    </vt:vector>
  </TitlesOfParts>
  <Company>MINSA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memorales</dc:creator>
  <cp:lastModifiedBy>OGESS-AM 01</cp:lastModifiedBy>
  <cp:lastPrinted>2013-04-24T13:53:07Z</cp:lastPrinted>
  <dcterms:created xsi:type="dcterms:W3CDTF">2008-12-19T15:07:21Z</dcterms:created>
  <dcterms:modified xsi:type="dcterms:W3CDTF">2023-08-11T21:48:13Z</dcterms:modified>
</cp:coreProperties>
</file>